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165" yWindow="90" windowWidth="15600" windowHeight="11760" tabRatio="847"/>
  </bookViews>
  <sheets>
    <sheet name="Transaction Details" sheetId="13" r:id="rId1"/>
    <sheet name="Registry Resources Allocations" sheetId="15" r:id="rId2"/>
    <sheet name="Staff Resource Allocations" sheetId="14" r:id="rId3"/>
    <sheet name="Reference Data" sheetId="11" r:id="rId4"/>
  </sheets>
  <definedNames>
    <definedName name="Fixed_Variable">#REF!</definedName>
    <definedName name="Yes_No">#REF!</definedName>
  </definedNames>
  <calcPr calcId="125725"/>
  <customWorkbookViews>
    <customWorkbookView name="Jeremy Ebbels - Personal View" guid="{AA57F53F-F018-45C7-BB53-E7D408712C93}" mergeInterval="0" personalView="1" maximized="1" xWindow="1" yWindow="1" windowWidth="1280" windowHeight="802" tabRatio="520" activeSheetId="1"/>
    <customWorkbookView name="Ryan Baker - Personal View" guid="{2313BBD9-5EBB-40F7-9B48-113B2C561A8A}" mergeInterval="0" personalView="1" maximized="1" windowWidth="1680" windowHeight="803" tabRatio="520" activeSheetId="1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5"/>
  <c r="D8" i="13" l="1"/>
  <c r="P8" s="1"/>
  <c r="E8"/>
  <c r="Q8" s="1"/>
  <c r="F8"/>
  <c r="R8" s="1"/>
  <c r="G8"/>
  <c r="S8" s="1"/>
  <c r="H8"/>
  <c r="T9" s="1"/>
  <c r="I8"/>
  <c r="U8" s="1"/>
  <c r="J8"/>
  <c r="V8" s="1"/>
  <c r="K8"/>
  <c r="W8" s="1"/>
  <c r="L8"/>
  <c r="X9" s="1"/>
  <c r="M8"/>
  <c r="Y8" s="1"/>
  <c r="N8"/>
  <c r="Z8" s="1"/>
  <c r="C8"/>
  <c r="Z9" l="1"/>
  <c r="X8"/>
  <c r="W9"/>
  <c r="V9"/>
  <c r="T8"/>
  <c r="S9"/>
  <c r="R9"/>
  <c r="Y9"/>
  <c r="U9"/>
  <c r="Q9"/>
  <c r="C9" i="15"/>
  <c r="B3" i="14" l="1"/>
  <c r="B10" i="15" l="1"/>
  <c r="D11" i="14" l="1"/>
  <c r="D12"/>
  <c r="D13"/>
  <c r="D15"/>
  <c r="D16"/>
  <c r="D18"/>
  <c r="D19"/>
  <c r="D20"/>
  <c r="D22"/>
  <c r="D23"/>
  <c r="D24"/>
  <c r="D25"/>
  <c r="D27"/>
  <c r="D29"/>
  <c r="D30"/>
  <c r="D31"/>
  <c r="D32"/>
  <c r="D34"/>
  <c r="D35"/>
  <c r="D36"/>
  <c r="D37"/>
  <c r="D39"/>
  <c r="D40"/>
  <c r="D41"/>
  <c r="D42"/>
  <c r="D44"/>
  <c r="D45"/>
  <c r="D46"/>
  <c r="D47"/>
  <c r="D49"/>
  <c r="D50"/>
  <c r="D51"/>
  <c r="D10"/>
  <c r="C10" i="15"/>
  <c r="B3"/>
  <c r="B7" s="1"/>
  <c r="C7" s="1"/>
  <c r="B8" l="1"/>
  <c r="C8" s="1"/>
  <c r="B4" i="14"/>
  <c r="C14" i="15"/>
  <c r="B20" s="1"/>
  <c r="B13" l="1"/>
  <c r="C13" s="1"/>
  <c r="B15"/>
  <c r="C15" s="1"/>
  <c r="B12"/>
  <c r="C12" s="1"/>
  <c r="C16" l="1"/>
  <c r="E10" i="14"/>
  <c r="E11"/>
  <c r="E12"/>
  <c r="E13"/>
  <c r="E15"/>
  <c r="E16"/>
  <c r="E18"/>
  <c r="E19"/>
  <c r="E20"/>
  <c r="E22"/>
  <c r="E23"/>
  <c r="E24"/>
  <c r="E25"/>
  <c r="E27"/>
  <c r="E29"/>
  <c r="E30"/>
  <c r="E31"/>
  <c r="E32"/>
  <c r="E34"/>
  <c r="E35"/>
  <c r="E36"/>
  <c r="E37"/>
  <c r="E39"/>
  <c r="E40"/>
  <c r="E41"/>
  <c r="E42"/>
  <c r="E44"/>
  <c r="E45"/>
  <c r="E46"/>
  <c r="E47"/>
  <c r="E49"/>
  <c r="E50"/>
  <c r="E51"/>
  <c r="B8" i="13"/>
  <c r="O8" l="1"/>
  <c r="O9"/>
  <c r="P9"/>
  <c r="B18" i="15"/>
  <c r="B19"/>
  <c r="B21"/>
  <c r="B16"/>
  <c r="B22" s="1"/>
  <c r="D53" i="14"/>
  <c r="E53" l="1"/>
  <c r="B5" s="1"/>
  <c r="B20" i="13" l="1"/>
  <c r="B5"/>
  <c r="B16"/>
  <c r="B6"/>
  <c r="B12"/>
  <c r="C20" l="1"/>
  <c r="C6"/>
  <c r="C5"/>
  <c r="C16"/>
  <c r="C12"/>
  <c r="B18"/>
  <c r="B17"/>
  <c r="B14"/>
  <c r="B10"/>
  <c r="B13"/>
  <c r="B22"/>
  <c r="B21"/>
  <c r="C18" l="1"/>
  <c r="C17"/>
  <c r="D20"/>
  <c r="D6"/>
  <c r="D5"/>
  <c r="D16"/>
  <c r="D12"/>
  <c r="C10"/>
  <c r="C13"/>
  <c r="C14"/>
  <c r="C22"/>
  <c r="C21"/>
  <c r="D17" l="1"/>
  <c r="D18"/>
  <c r="E16"/>
  <c r="E12"/>
  <c r="E20"/>
  <c r="E6"/>
  <c r="E5"/>
  <c r="D14"/>
  <c r="D10"/>
  <c r="D13"/>
  <c r="D22"/>
  <c r="D21"/>
  <c r="E21" l="1"/>
  <c r="E22"/>
  <c r="E13"/>
  <c r="E10"/>
  <c r="E14"/>
  <c r="F12"/>
  <c r="F5"/>
  <c r="F16"/>
  <c r="F20"/>
  <c r="F6"/>
  <c r="E17"/>
  <c r="E18"/>
  <c r="F18" l="1"/>
  <c r="F17"/>
  <c r="G20"/>
  <c r="G6"/>
  <c r="G5"/>
  <c r="G12"/>
  <c r="G16"/>
  <c r="F10"/>
  <c r="F13"/>
  <c r="F14"/>
  <c r="F22"/>
  <c r="F21"/>
  <c r="G22" l="1"/>
  <c r="G21"/>
  <c r="G13"/>
  <c r="G14"/>
  <c r="G10"/>
  <c r="H20"/>
  <c r="H6"/>
  <c r="H5"/>
  <c r="H16"/>
  <c r="H12"/>
  <c r="G18"/>
  <c r="G17"/>
  <c r="I16" l="1"/>
  <c r="I12"/>
  <c r="I20"/>
  <c r="I6"/>
  <c r="I5"/>
  <c r="H14"/>
  <c r="H10"/>
  <c r="H13"/>
  <c r="H21"/>
  <c r="H22"/>
  <c r="H17"/>
  <c r="H18"/>
  <c r="I21" l="1"/>
  <c r="I22"/>
  <c r="I14"/>
  <c r="I13"/>
  <c r="I10"/>
  <c r="J12"/>
  <c r="J16"/>
  <c r="J20"/>
  <c r="J6"/>
  <c r="J5"/>
  <c r="I17"/>
  <c r="I18"/>
  <c r="K20" l="1"/>
  <c r="K6"/>
  <c r="K5"/>
  <c r="K16"/>
  <c r="K12"/>
  <c r="J13"/>
  <c r="J10"/>
  <c r="J14"/>
  <c r="J22"/>
  <c r="J21"/>
  <c r="J18"/>
  <c r="J17"/>
  <c r="K10" l="1"/>
  <c r="K13"/>
  <c r="K14"/>
  <c r="K22"/>
  <c r="K21"/>
  <c r="K18"/>
  <c r="K17"/>
  <c r="L20"/>
  <c r="L6"/>
  <c r="L5"/>
  <c r="L16"/>
  <c r="L12"/>
  <c r="L14" l="1"/>
  <c r="L10"/>
  <c r="L13"/>
  <c r="L22"/>
  <c r="L21"/>
  <c r="L17"/>
  <c r="L18"/>
  <c r="M16"/>
  <c r="M12"/>
  <c r="M20"/>
  <c r="M6"/>
  <c r="M5"/>
  <c r="M22" l="1"/>
  <c r="M21"/>
  <c r="M10"/>
  <c r="M14"/>
  <c r="M13"/>
  <c r="M17"/>
  <c r="M18"/>
  <c r="N12"/>
  <c r="N20"/>
  <c r="N6"/>
  <c r="N5"/>
  <c r="N16"/>
  <c r="N22" l="1"/>
  <c r="N21"/>
  <c r="N18"/>
  <c r="N17"/>
  <c r="N13"/>
  <c r="N14"/>
  <c r="N10"/>
  <c r="O20" l="1"/>
  <c r="O6"/>
  <c r="O5"/>
  <c r="O12"/>
  <c r="O16"/>
  <c r="P20" l="1"/>
  <c r="P6"/>
  <c r="P5"/>
  <c r="P16"/>
  <c r="P12"/>
  <c r="O17"/>
  <c r="O18"/>
  <c r="O22"/>
  <c r="O21"/>
  <c r="O10"/>
  <c r="O13"/>
  <c r="O14"/>
  <c r="P17" l="1"/>
  <c r="P18"/>
  <c r="Q16"/>
  <c r="Q12"/>
  <c r="Q20"/>
  <c r="Q5"/>
  <c r="Q6"/>
  <c r="P14"/>
  <c r="P13"/>
  <c r="P10"/>
  <c r="P21"/>
  <c r="P22"/>
  <c r="Q22" l="1"/>
  <c r="Q21"/>
  <c r="Q10"/>
  <c r="Q14"/>
  <c r="Q13"/>
  <c r="R12"/>
  <c r="R16"/>
  <c r="R20"/>
  <c r="R6"/>
  <c r="R5"/>
  <c r="Q17"/>
  <c r="Q18"/>
  <c r="S20" l="1"/>
  <c r="S6"/>
  <c r="S5"/>
  <c r="S16"/>
  <c r="S12"/>
  <c r="R22"/>
  <c r="R21"/>
  <c r="R18"/>
  <c r="R17"/>
  <c r="R13"/>
  <c r="R10"/>
  <c r="R14"/>
  <c r="S18" l="1"/>
  <c r="S17"/>
  <c r="T20"/>
  <c r="T6"/>
  <c r="T5"/>
  <c r="T16"/>
  <c r="T12"/>
  <c r="S10"/>
  <c r="S13"/>
  <c r="S14"/>
  <c r="S22"/>
  <c r="S21"/>
  <c r="T17" l="1"/>
  <c r="T18"/>
  <c r="U16"/>
  <c r="U12"/>
  <c r="U20"/>
  <c r="U6"/>
  <c r="U5"/>
  <c r="T14"/>
  <c r="T10"/>
  <c r="T13"/>
  <c r="T22"/>
  <c r="T21"/>
  <c r="U22" l="1"/>
  <c r="U21"/>
  <c r="V12"/>
  <c r="V5"/>
  <c r="V16"/>
  <c r="V20"/>
  <c r="V6"/>
  <c r="U10"/>
  <c r="U13"/>
  <c r="U14"/>
  <c r="U17"/>
  <c r="U18"/>
  <c r="V22" l="1"/>
  <c r="V21"/>
  <c r="V18"/>
  <c r="V17"/>
  <c r="W20"/>
  <c r="W6"/>
  <c r="W5"/>
  <c r="W12"/>
  <c r="W16"/>
  <c r="V10"/>
  <c r="V13"/>
  <c r="V14"/>
  <c r="W18" l="1"/>
  <c r="W17"/>
  <c r="W22"/>
  <c r="W21"/>
  <c r="W13"/>
  <c r="W14"/>
  <c r="W10"/>
  <c r="X20"/>
  <c r="X6"/>
  <c r="X5"/>
  <c r="X16"/>
  <c r="X12"/>
  <c r="Y16" l="1"/>
  <c r="Y12"/>
  <c r="Y20"/>
  <c r="Y6"/>
  <c r="Y5"/>
  <c r="X14"/>
  <c r="X10"/>
  <c r="X13"/>
  <c r="X21"/>
  <c r="X22"/>
  <c r="X17"/>
  <c r="X18"/>
  <c r="Z12" l="1"/>
  <c r="Z16"/>
  <c r="Z20"/>
  <c r="Z6"/>
  <c r="Z5"/>
  <c r="Y21"/>
  <c r="Y22"/>
  <c r="Y14"/>
  <c r="Y10"/>
  <c r="Y13"/>
  <c r="Y17"/>
  <c r="Y18"/>
  <c r="Z13" l="1"/>
  <c r="Z10"/>
  <c r="Z14"/>
  <c r="Z18"/>
  <c r="Z17"/>
  <c r="Z22"/>
  <c r="Z21"/>
</calcChain>
</file>

<file path=xl/sharedStrings.xml><?xml version="1.0" encoding="utf-8"?>
<sst xmlns="http://schemas.openxmlformats.org/spreadsheetml/2006/main" count="114" uniqueCount="105">
  <si>
    <t>Month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</si>
  <si>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</si>
  <si>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</si>
  <si>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</si>
  <si>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</si>
  <si>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</si>
  <si>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</si>
  <si>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</si>
  <si>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</si>
  <si>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</si>
  <si>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SRS Peak TPS</t>
  </si>
  <si>
    <t>SRS Average TPS</t>
  </si>
  <si>
    <t>WhoIs Peak TPS</t>
  </si>
  <si>
    <t>WhoIs Average TPS</t>
  </si>
  <si>
    <t>DNS Average QPS</t>
  </si>
  <si>
    <t>DNS Peak QPS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</si>
  <si>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</si>
  <si>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</si>
  <si>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</si>
  <si>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</si>
  <si>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</si>
  <si>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</si>
  <si>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Sunrise
&amp; Landrush</t>
  </si>
  <si>
    <t>Total Domains (under management)</t>
  </si>
  <si>
    <t>2nd Year renewal rate</t>
  </si>
  <si>
    <t>Totals</t>
  </si>
  <si>
    <t>Policy Compliance Officer</t>
  </si>
  <si>
    <t>Legal Counsel</t>
  </si>
  <si>
    <t>Legal Manager</t>
  </si>
  <si>
    <t>Policy &amp; Compliance</t>
  </si>
  <si>
    <t>Quality Analyst</t>
  </si>
  <si>
    <t>Developer</t>
  </si>
  <si>
    <t>Business Analyst</t>
  </si>
  <si>
    <t>Development Manager</t>
  </si>
  <si>
    <t>Development</t>
  </si>
  <si>
    <t>Network Engineers</t>
  </si>
  <si>
    <t>Database Administrators</t>
  </si>
  <si>
    <t>Systems Administrators</t>
  </si>
  <si>
    <t>Project Manager</t>
  </si>
  <si>
    <t>Implementation</t>
  </si>
  <si>
    <t>Operations Team Lead</t>
  </si>
  <si>
    <t>Operations</t>
  </si>
  <si>
    <t>Registry Specialists (Level 2 Support)</t>
  </si>
  <si>
    <t>Level 2 Support Team Lead</t>
  </si>
  <si>
    <t>Customer Support Representative (Level 1 Support)</t>
  </si>
  <si>
    <t>Level 1 Support Team Lead</t>
  </si>
  <si>
    <t>Service Desk</t>
  </si>
  <si>
    <t>Production Support Manager</t>
  </si>
  <si>
    <t>Production Support</t>
  </si>
  <si>
    <t>Domain Name Industry Consultant</t>
  </si>
  <si>
    <t>Technical Product Manager</t>
  </si>
  <si>
    <t>Product Manager</t>
  </si>
  <si>
    <t>Products &amp; Consulting Manager</t>
  </si>
  <si>
    <t>Products &amp; Consulting</t>
  </si>
  <si>
    <t>Book Keeper</t>
  </si>
  <si>
    <t>Accountant</t>
  </si>
  <si>
    <t>Financial Controller</t>
  </si>
  <si>
    <t>Finance</t>
  </si>
  <si>
    <t>Client Services Officer</t>
  </si>
  <si>
    <t>Client Services Manager</t>
  </si>
  <si>
    <t>Client Services</t>
  </si>
  <si>
    <t>Chief Stratergy Officer</t>
  </si>
  <si>
    <t>Chief Operation Officer</t>
  </si>
  <si>
    <t>Chief Technical Officer</t>
  </si>
  <si>
    <t>Chief Executive Officer</t>
  </si>
  <si>
    <t>Executive</t>
  </si>
  <si>
    <t>People Days (Yearly)</t>
  </si>
  <si>
    <t>%</t>
  </si>
  <si>
    <t>Peak Resource Utilsation of this TLD</t>
  </si>
  <si>
    <t>Time dedicated to Registry Operations</t>
  </si>
  <si>
    <t>Qty</t>
  </si>
  <si>
    <t>Staff</t>
  </si>
  <si>
    <t>TLD Overall Resource Usage</t>
  </si>
  <si>
    <t>TLD Maximum Predicted Domain Names</t>
  </si>
  <si>
    <t>ARI Platform Domain Name Capacity</t>
  </si>
  <si>
    <t>Calculate TLD Staff Resource Allocation Requirements</t>
  </si>
  <si>
    <t>Note: Predictions are also conservation due to calaculations used</t>
  </si>
  <si>
    <t>of ARI platform to be allocated</t>
  </si>
  <si>
    <t>TLD Maximum Predicted Monthly DNS Utilisation (10x factor for DDOS) (%)</t>
  </si>
  <si>
    <t>TLD Maximum Predicted Monthly DNS Utilisation (%)</t>
  </si>
  <si>
    <t>TLD Maximum Predicted Monthly WhoIs Utilisation (%)</t>
  </si>
  <si>
    <t>TLD Maximum Predicted Monthly SRS Utilisation (%)</t>
  </si>
  <si>
    <t>TLD Maximum Predicted Monthly DNS Utilisation (10x factor for DDOS)</t>
  </si>
  <si>
    <t>TLD Maximum Predicted Monthly DNS Utilisation</t>
  </si>
  <si>
    <t>TLD Maximum Predicted Monthly WhoIs Utilisation</t>
  </si>
  <si>
    <t>TLD Maximum Predicted Monthly SRS Utilisation</t>
  </si>
  <si>
    <t>ARI Designed Monthly WhoIs Tx Capacity*</t>
  </si>
  <si>
    <t>ARI Designed Monthly SRS Tx Capacity*</t>
  </si>
  <si>
    <t>Peak (TPS)</t>
  </si>
  <si>
    <t>Total Monthly Transaction</t>
  </si>
  <si>
    <t>Calculate TLD Registry Resource Allocation Requirements</t>
  </si>
  <si>
    <t>Capacity of ARI platform - Domains</t>
  </si>
  <si>
    <t>Working Days a Year</t>
  </si>
  <si>
    <t>SRS Domain Creates (successful)</t>
  </si>
  <si>
    <t>SRS Domain Renews (successful)</t>
  </si>
  <si>
    <t>DNS Query Capacity</t>
  </si>
  <si>
    <t>Capacity of ARI Staff - Size of system they can manage</t>
  </si>
  <si>
    <t>ARI Staff Domain Name Capacity</t>
  </si>
  <si>
    <t>Peak DNS Updates/second</t>
  </si>
  <si>
    <t>TLD Maximum Predicted Monthly DNS Update Utilisation</t>
  </si>
  <si>
    <t>NA</t>
  </si>
  <si>
    <t>TLD Maximum Predicted Monthly DNS Update Utilisation (%)</t>
  </si>
  <si>
    <t>ARI Designed DNS Update Capacity</t>
  </si>
  <si>
    <t>ARI Designed Monthly DNS Tx Capacity*</t>
  </si>
  <si>
    <t>*Real system capacity exceeds designed capacity due to conservative nature of calculations used and capacity only reported as 50% of real capacity (10% for DNS)</t>
  </si>
</sst>
</file>

<file path=xl/styles.xml><?xml version="1.0" encoding="utf-8"?>
<styleSheet xmlns="http://schemas.openxmlformats.org/spreadsheetml/2006/main">
  <numFmts count="7"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0.0%"/>
    <numFmt numFmtId="170" formatCode="0.000000%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5">
    <xf numFmtId="0" fontId="0" fillId="0" borderId="0" xfId="0"/>
    <xf numFmtId="165" fontId="0" fillId="0" borderId="0" xfId="1" applyNumberFormat="1" applyFont="1"/>
    <xf numFmtId="166" fontId="0" fillId="0" borderId="0" xfId="1" applyNumberFormat="1" applyFont="1"/>
    <xf numFmtId="0" fontId="0" fillId="3" borderId="0" xfId="0" applyFill="1"/>
    <xf numFmtId="9" fontId="0" fillId="4" borderId="0" xfId="2" applyFont="1" applyFill="1"/>
    <xf numFmtId="0" fontId="7" fillId="0" borderId="0" xfId="0" applyFont="1"/>
    <xf numFmtId="0" fontId="7" fillId="0" borderId="0" xfId="0" applyFont="1" applyAlignment="1">
      <alignment wrapText="1"/>
    </xf>
    <xf numFmtId="164" fontId="0" fillId="0" borderId="0" xfId="1" applyNumberFormat="1" applyFont="1"/>
    <xf numFmtId="169" fontId="0" fillId="4" borderId="0" xfId="2" applyNumberFormat="1" applyFont="1" applyFill="1"/>
    <xf numFmtId="166" fontId="0" fillId="2" borderId="0" xfId="1" applyNumberFormat="1" applyFont="1" applyFill="1"/>
    <xf numFmtId="9" fontId="0" fillId="2" borderId="0" xfId="0" applyNumberFormat="1" applyFill="1"/>
    <xf numFmtId="166" fontId="0" fillId="0" borderId="0" xfId="0" applyNumberFormat="1"/>
    <xf numFmtId="166" fontId="0" fillId="0" borderId="0" xfId="1" applyNumberFormat="1" applyFont="1" applyFill="1"/>
    <xf numFmtId="49" fontId="0" fillId="0" borderId="0" xfId="0" applyNumberFormat="1" applyAlignment="1">
      <alignment wrapText="1"/>
    </xf>
    <xf numFmtId="0" fontId="3" fillId="0" borderId="0" xfId="50"/>
    <xf numFmtId="9" fontId="0" fillId="0" borderId="0" xfId="51" applyFont="1"/>
    <xf numFmtId="165" fontId="3" fillId="0" borderId="1" xfId="50" applyNumberFormat="1" applyFill="1" applyBorder="1"/>
    <xf numFmtId="166" fontId="0" fillId="0" borderId="1" xfId="52" applyNumberFormat="1" applyFont="1" applyBorder="1"/>
    <xf numFmtId="9" fontId="0" fillId="0" borderId="1" xfId="51" applyFont="1" applyBorder="1"/>
    <xf numFmtId="0" fontId="3" fillId="0" borderId="1" xfId="50" applyBorder="1"/>
    <xf numFmtId="0" fontId="9" fillId="0" borderId="1" xfId="50" applyFont="1" applyFill="1" applyBorder="1"/>
    <xf numFmtId="165" fontId="3" fillId="0" borderId="1" xfId="50" applyNumberFormat="1" applyBorder="1"/>
    <xf numFmtId="165" fontId="0" fillId="0" borderId="1" xfId="52" applyNumberFormat="1" applyFont="1" applyBorder="1"/>
    <xf numFmtId="0" fontId="9" fillId="0" borderId="1" xfId="50" applyFont="1" applyBorder="1"/>
    <xf numFmtId="0" fontId="10" fillId="0" borderId="1" xfId="50" applyFont="1" applyBorder="1"/>
    <xf numFmtId="9" fontId="11" fillId="0" borderId="1" xfId="51" applyFont="1" applyBorder="1" applyAlignment="1">
      <alignment horizontal="center" vertical="center" wrapText="1"/>
    </xf>
    <xf numFmtId="9" fontId="11" fillId="0" borderId="1" xfId="51" applyFont="1" applyBorder="1" applyAlignment="1">
      <alignment horizontal="center" vertical="center"/>
    </xf>
    <xf numFmtId="0" fontId="11" fillId="0" borderId="1" xfId="50" applyFont="1" applyBorder="1" applyAlignment="1">
      <alignment horizontal="center" vertical="center" wrapText="1"/>
    </xf>
    <xf numFmtId="10" fontId="0" fillId="0" borderId="0" xfId="51" applyNumberFormat="1" applyFont="1"/>
    <xf numFmtId="0" fontId="9" fillId="0" borderId="0" xfId="50" applyFont="1"/>
    <xf numFmtId="166" fontId="0" fillId="0" borderId="0" xfId="52" applyNumberFormat="1" applyFont="1" applyFill="1"/>
    <xf numFmtId="0" fontId="9" fillId="0" borderId="0" xfId="50" applyFont="1" applyFill="1"/>
    <xf numFmtId="0" fontId="10" fillId="0" borderId="0" xfId="50" applyFont="1"/>
    <xf numFmtId="164" fontId="3" fillId="0" borderId="0" xfId="50" applyNumberFormat="1"/>
    <xf numFmtId="166" fontId="3" fillId="0" borderId="0" xfId="50" applyNumberFormat="1"/>
    <xf numFmtId="165" fontId="0" fillId="0" borderId="0" xfId="52" applyNumberFormat="1" applyFont="1"/>
    <xf numFmtId="166" fontId="0" fillId="0" borderId="0" xfId="52" applyNumberFormat="1" applyFont="1"/>
    <xf numFmtId="9" fontId="0" fillId="0" borderId="0" xfId="51" applyFont="1" applyFill="1"/>
    <xf numFmtId="166" fontId="3" fillId="0" borderId="0" xfId="50" applyNumberFormat="1" applyFill="1"/>
    <xf numFmtId="3" fontId="3" fillId="0" borderId="0" xfId="50" applyNumberFormat="1" applyFill="1"/>
    <xf numFmtId="0" fontId="9" fillId="0" borderId="0" xfId="50" applyFont="1" applyAlignment="1"/>
    <xf numFmtId="0" fontId="3" fillId="0" borderId="0" xfId="0" applyFont="1"/>
    <xf numFmtId="166" fontId="0" fillId="5" borderId="0" xfId="52" applyNumberFormat="1" applyFont="1" applyFill="1"/>
    <xf numFmtId="0" fontId="0" fillId="5" borderId="0" xfId="0" applyFill="1"/>
    <xf numFmtId="166" fontId="3" fillId="5" borderId="0" xfId="50" applyNumberFormat="1" applyFill="1"/>
    <xf numFmtId="0" fontId="2" fillId="0" borderId="0" xfId="0" applyFont="1"/>
    <xf numFmtId="166" fontId="0" fillId="3" borderId="0" xfId="1" applyNumberFormat="1" applyFont="1" applyFill="1"/>
    <xf numFmtId="166" fontId="0" fillId="4" borderId="0" xfId="1" applyNumberFormat="1" applyFont="1" applyFill="1"/>
    <xf numFmtId="166" fontId="0" fillId="0" borderId="0" xfId="52" applyNumberFormat="1" applyFont="1" applyFill="1" applyAlignment="1">
      <alignment horizontal="right"/>
    </xf>
    <xf numFmtId="166" fontId="1" fillId="0" borderId="0" xfId="50" applyNumberFormat="1" applyFont="1" applyAlignment="1">
      <alignment horizontal="right"/>
    </xf>
    <xf numFmtId="170" fontId="10" fillId="0" borderId="0" xfId="51" applyNumberFormat="1" applyFont="1"/>
    <xf numFmtId="170" fontId="0" fillId="0" borderId="0" xfId="51" applyNumberFormat="1" applyFont="1"/>
    <xf numFmtId="0" fontId="9" fillId="0" borderId="0" xfId="50" applyFont="1" applyAlignment="1">
      <alignment horizontal="center"/>
    </xf>
    <xf numFmtId="9" fontId="11" fillId="0" borderId="1" xfId="51" applyFont="1" applyBorder="1" applyAlignment="1">
      <alignment horizontal="center" vertical="center" wrapText="1"/>
    </xf>
    <xf numFmtId="0" fontId="11" fillId="0" borderId="1" xfId="50" applyFont="1" applyBorder="1" applyAlignment="1">
      <alignment horizontal="center" vertical="center"/>
    </xf>
  </cellXfs>
  <cellStyles count="53">
    <cellStyle name="Comma" xfId="1" builtinId="3"/>
    <cellStyle name="Comma 2" xfId="48"/>
    <cellStyle name="Comma 3" xfId="52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47"/>
    <cellStyle name="Normal 3" xfId="50"/>
    <cellStyle name="Percent" xfId="2" builtinId="5"/>
    <cellStyle name="Percent 2" xfId="5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Normal="100" workbookViewId="0">
      <selection activeCell="AA9" sqref="AA9"/>
    </sheetView>
  </sheetViews>
  <sheetFormatPr defaultRowHeight="15.75"/>
  <cols>
    <col min="1" max="1" width="30.75" bestFit="1" customWidth="1"/>
    <col min="2" max="3" width="12.125" bestFit="1" customWidth="1"/>
    <col min="4" max="5" width="11.125" bestFit="1" customWidth="1"/>
    <col min="6" max="11" width="12.125" bestFit="1" customWidth="1"/>
    <col min="12" max="17" width="13.75" bestFit="1" customWidth="1"/>
    <col min="18" max="22" width="14.75" bestFit="1" customWidth="1"/>
    <col min="23" max="26" width="15.75" bestFit="1" customWidth="1"/>
  </cols>
  <sheetData>
    <row r="1" spans="1:26" s="5" customFormat="1" ht="31.5">
      <c r="A1" s="5" t="s">
        <v>0</v>
      </c>
      <c r="B1" s="6" t="s">
        <v>22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>
        <v>9</v>
      </c>
      <c r="L1" s="5">
        <v>10</v>
      </c>
      <c r="M1" s="5">
        <v>11</v>
      </c>
      <c r="N1" s="5">
        <v>12</v>
      </c>
      <c r="O1" s="5">
        <v>13</v>
      </c>
      <c r="P1" s="5">
        <v>14</v>
      </c>
      <c r="Q1" s="5">
        <v>15</v>
      </c>
      <c r="R1" s="5">
        <v>16</v>
      </c>
      <c r="S1" s="5">
        <v>17</v>
      </c>
      <c r="T1" s="5">
        <v>18</v>
      </c>
      <c r="U1" s="5">
        <v>19</v>
      </c>
      <c r="V1" s="5">
        <v>20</v>
      </c>
      <c r="W1" s="5">
        <v>21</v>
      </c>
      <c r="X1" s="5">
        <v>22</v>
      </c>
      <c r="Y1" s="5">
        <v>23</v>
      </c>
      <c r="Z1" s="5">
        <v>24</v>
      </c>
    </row>
    <row r="3" spans="1:26">
      <c r="A3" s="13" t="s">
        <v>23</v>
      </c>
      <c r="B3" s="9">
        <v>20000</v>
      </c>
      <c r="C3" s="9">
        <v>30000</v>
      </c>
      <c r="D3" s="9">
        <v>35000</v>
      </c>
      <c r="E3" s="9">
        <v>40000</v>
      </c>
      <c r="F3" s="9">
        <v>45000</v>
      </c>
      <c r="G3" s="9">
        <v>50000</v>
      </c>
      <c r="H3" s="9">
        <v>55000</v>
      </c>
      <c r="I3" s="9">
        <v>65000</v>
      </c>
      <c r="J3" s="9">
        <v>70000</v>
      </c>
      <c r="K3" s="9">
        <v>75000</v>
      </c>
      <c r="L3" s="9">
        <v>80000</v>
      </c>
      <c r="M3" s="9">
        <v>85000</v>
      </c>
      <c r="N3" s="9">
        <v>90000</v>
      </c>
      <c r="O3" s="9">
        <v>95000</v>
      </c>
      <c r="P3" s="9">
        <v>100000</v>
      </c>
      <c r="Q3" s="9">
        <v>105000</v>
      </c>
      <c r="R3" s="9">
        <v>110000</v>
      </c>
      <c r="S3" s="9">
        <v>115000</v>
      </c>
      <c r="T3" s="9">
        <v>120000</v>
      </c>
      <c r="U3" s="9">
        <v>125000</v>
      </c>
      <c r="V3" s="9">
        <v>130000</v>
      </c>
      <c r="W3" s="9">
        <v>135000</v>
      </c>
      <c r="X3" s="9">
        <v>140000</v>
      </c>
      <c r="Y3" s="9">
        <v>145000</v>
      </c>
      <c r="Z3" s="9">
        <v>150000</v>
      </c>
    </row>
    <row r="5" spans="1:26">
      <c r="A5" t="s">
        <v>16</v>
      </c>
      <c r="B5" s="2">
        <f>ROUNDUP(B3*'Reference Data'!$B$2,0)</f>
        <v>75200</v>
      </c>
      <c r="C5" s="2">
        <f>ROUNDUP(C3*'Reference Data'!$B$2,0)</f>
        <v>112800</v>
      </c>
      <c r="D5" s="2">
        <f>ROUNDUP(D3*'Reference Data'!$B$2,0)</f>
        <v>131600</v>
      </c>
      <c r="E5" s="2">
        <f>ROUNDUP(E3*'Reference Data'!$B$2,0)</f>
        <v>150400</v>
      </c>
      <c r="F5" s="2">
        <f>ROUNDUP(F3*'Reference Data'!$B$2,0)</f>
        <v>169200</v>
      </c>
      <c r="G5" s="2">
        <f>ROUNDUP(G3*'Reference Data'!$B$2,0)</f>
        <v>188000</v>
      </c>
      <c r="H5" s="2">
        <f>ROUNDUP(H3*'Reference Data'!$B$2,0)</f>
        <v>206800</v>
      </c>
      <c r="I5" s="2">
        <f>ROUNDUP(I3*'Reference Data'!$B$2,0)</f>
        <v>244400</v>
      </c>
      <c r="J5" s="2">
        <f>ROUNDUP(J3*'Reference Data'!$B$2,0)</f>
        <v>263200</v>
      </c>
      <c r="K5" s="2">
        <f>ROUNDUP(K3*'Reference Data'!$B$2,0)</f>
        <v>282000</v>
      </c>
      <c r="L5" s="2">
        <f>ROUNDUP(L3*'Reference Data'!$B$2,0)</f>
        <v>300800</v>
      </c>
      <c r="M5" s="2">
        <f>ROUNDUP(M3*'Reference Data'!$B$2,0)</f>
        <v>319600</v>
      </c>
      <c r="N5" s="2">
        <f>ROUNDUP(N3*'Reference Data'!$B$2,0)</f>
        <v>338400</v>
      </c>
      <c r="O5" s="2">
        <f>ROUNDUP(O3*'Reference Data'!$B$2,0)</f>
        <v>357200</v>
      </c>
      <c r="P5" s="2">
        <f>ROUNDUP(P3*'Reference Data'!$B$2,0)</f>
        <v>376000</v>
      </c>
      <c r="Q5" s="2">
        <f>ROUNDUP(Q3*'Reference Data'!$B$2,0)</f>
        <v>394800</v>
      </c>
      <c r="R5" s="2">
        <f>ROUNDUP(R3*'Reference Data'!$B$2,0)</f>
        <v>413600</v>
      </c>
      <c r="S5" s="2">
        <f>ROUNDUP(S3*'Reference Data'!$B$2,0)</f>
        <v>432400</v>
      </c>
      <c r="T5" s="2">
        <f>ROUNDUP(T3*'Reference Data'!$B$2,0)</f>
        <v>451200</v>
      </c>
      <c r="U5" s="2">
        <f>ROUNDUP(U3*'Reference Data'!$B$2,0)</f>
        <v>470000</v>
      </c>
      <c r="V5" s="2">
        <f>ROUNDUP(V3*'Reference Data'!$B$2,0)</f>
        <v>488800</v>
      </c>
      <c r="W5" s="2">
        <f>ROUNDUP(W3*'Reference Data'!$B$2,0)</f>
        <v>507600</v>
      </c>
      <c r="X5" s="2">
        <f>ROUNDUP(X3*'Reference Data'!$B$2,0)</f>
        <v>526400</v>
      </c>
      <c r="Y5" s="2">
        <f>ROUNDUP(Y3*'Reference Data'!$B$2,0)</f>
        <v>545200</v>
      </c>
      <c r="Z5" s="2">
        <f>ROUNDUP(Z3*'Reference Data'!$B$2,0)</f>
        <v>564000</v>
      </c>
    </row>
    <row r="6" spans="1:26">
      <c r="A6" t="s">
        <v>17</v>
      </c>
      <c r="B6" s="2">
        <f>ROUNDUP(B3*'Reference Data'!$B$1,0)</f>
        <v>45600</v>
      </c>
      <c r="C6" s="2">
        <f>ROUNDUP(C3*'Reference Data'!$B$1,0)</f>
        <v>68400</v>
      </c>
      <c r="D6" s="2">
        <f>ROUNDUP(D3*'Reference Data'!$B$1,0)</f>
        <v>79800</v>
      </c>
      <c r="E6" s="2">
        <f>ROUNDUP(E3*'Reference Data'!$B$1,0)</f>
        <v>91200</v>
      </c>
      <c r="F6" s="2">
        <f>ROUNDUP(F3*'Reference Data'!$B$1,0)</f>
        <v>102600</v>
      </c>
      <c r="G6" s="2">
        <f>ROUNDUP(G3*'Reference Data'!$B$1,0)</f>
        <v>114000</v>
      </c>
      <c r="H6" s="2">
        <f>ROUNDUP(H3*'Reference Data'!$B$1,0)</f>
        <v>125400</v>
      </c>
      <c r="I6" s="2">
        <f>ROUNDUP(I3*'Reference Data'!$B$1,0)</f>
        <v>148200</v>
      </c>
      <c r="J6" s="2">
        <f>ROUNDUP(J3*'Reference Data'!$B$1,0)</f>
        <v>159600</v>
      </c>
      <c r="K6" s="2">
        <f>ROUNDUP(K3*'Reference Data'!$B$1,0)</f>
        <v>171000</v>
      </c>
      <c r="L6" s="2">
        <f>ROUNDUP(L3*'Reference Data'!$B$1,0)</f>
        <v>182400</v>
      </c>
      <c r="M6" s="2">
        <f>ROUNDUP(M3*'Reference Data'!$B$1,0)</f>
        <v>193800</v>
      </c>
      <c r="N6" s="2">
        <f>ROUNDUP(N3*'Reference Data'!$B$1,0)</f>
        <v>205200</v>
      </c>
      <c r="O6" s="2">
        <f>ROUNDUP(O3*'Reference Data'!$B$1,0)</f>
        <v>216600</v>
      </c>
      <c r="P6" s="2">
        <f>ROUNDUP(P3*'Reference Data'!$B$1,0)</f>
        <v>228000</v>
      </c>
      <c r="Q6" s="2">
        <f>ROUNDUP(Q3*'Reference Data'!$B$1,0)</f>
        <v>239400</v>
      </c>
      <c r="R6" s="2">
        <f>ROUNDUP(R3*'Reference Data'!$B$1,0)</f>
        <v>250800</v>
      </c>
      <c r="S6" s="2">
        <f>ROUNDUP(S3*'Reference Data'!$B$1,0)</f>
        <v>262200</v>
      </c>
      <c r="T6" s="2">
        <f>ROUNDUP(T3*'Reference Data'!$B$1,0)</f>
        <v>273600</v>
      </c>
      <c r="U6" s="2">
        <f>ROUNDUP(U3*'Reference Data'!$B$1,0)</f>
        <v>285000</v>
      </c>
      <c r="V6" s="2">
        <f>ROUNDUP(V3*'Reference Data'!$B$1,0)</f>
        <v>296400</v>
      </c>
      <c r="W6" s="2">
        <f>ROUNDUP(W3*'Reference Data'!$B$1,0)</f>
        <v>307800</v>
      </c>
      <c r="X6" s="2">
        <f>ROUNDUP(X3*'Reference Data'!$B$1,0)</f>
        <v>319200</v>
      </c>
      <c r="Y6" s="2">
        <f>ROUNDUP(Y3*'Reference Data'!$B$1,0)</f>
        <v>330600</v>
      </c>
      <c r="Z6" s="2">
        <f>ROUNDUP(Z3*'Reference Data'!$B$1,0)</f>
        <v>342000</v>
      </c>
    </row>
    <row r="7" spans="1:26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t="s">
        <v>93</v>
      </c>
      <c r="B8" s="12">
        <f>B3</f>
        <v>20000</v>
      </c>
      <c r="C8" s="12">
        <f>C3-B3</f>
        <v>10000</v>
      </c>
      <c r="D8" s="12">
        <f t="shared" ref="D8:N8" si="0">D3-C3</f>
        <v>5000</v>
      </c>
      <c r="E8" s="12">
        <f t="shared" si="0"/>
        <v>5000</v>
      </c>
      <c r="F8" s="12">
        <f t="shared" si="0"/>
        <v>5000</v>
      </c>
      <c r="G8" s="12">
        <f t="shared" si="0"/>
        <v>5000</v>
      </c>
      <c r="H8" s="12">
        <f t="shared" si="0"/>
        <v>5000</v>
      </c>
      <c r="I8" s="12">
        <f t="shared" si="0"/>
        <v>10000</v>
      </c>
      <c r="J8" s="12">
        <f t="shared" si="0"/>
        <v>5000</v>
      </c>
      <c r="K8" s="12">
        <f t="shared" si="0"/>
        <v>5000</v>
      </c>
      <c r="L8" s="12">
        <f t="shared" si="0"/>
        <v>5000</v>
      </c>
      <c r="M8" s="12">
        <f t="shared" si="0"/>
        <v>5000</v>
      </c>
      <c r="N8" s="12">
        <f t="shared" si="0"/>
        <v>5000</v>
      </c>
      <c r="O8" s="12">
        <f>((B8+C8)*(1-$B$24))+(O3-N3)</f>
        <v>5000</v>
      </c>
      <c r="P8" s="12">
        <f>(D8*(1-$B$24))+(P3-O3)</f>
        <v>5000</v>
      </c>
      <c r="Q8" s="12">
        <f t="shared" ref="Q8:Z8" si="1">(E8*(1-$B$24))+(Q3-P3)</f>
        <v>5000</v>
      </c>
      <c r="R8" s="12">
        <f t="shared" si="1"/>
        <v>5000</v>
      </c>
      <c r="S8" s="12">
        <f t="shared" si="1"/>
        <v>5000</v>
      </c>
      <c r="T8" s="12">
        <f t="shared" si="1"/>
        <v>5000</v>
      </c>
      <c r="U8" s="12">
        <f t="shared" si="1"/>
        <v>5000</v>
      </c>
      <c r="V8" s="12">
        <f t="shared" si="1"/>
        <v>5000</v>
      </c>
      <c r="W8" s="12">
        <f t="shared" si="1"/>
        <v>5000</v>
      </c>
      <c r="X8" s="12">
        <f t="shared" si="1"/>
        <v>5000</v>
      </c>
      <c r="Y8" s="12">
        <f t="shared" si="1"/>
        <v>5000</v>
      </c>
      <c r="Z8" s="12">
        <f t="shared" si="1"/>
        <v>5000</v>
      </c>
    </row>
    <row r="9" spans="1:26">
      <c r="A9" t="s">
        <v>94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f>(B8+C8)*B24</f>
        <v>30000</v>
      </c>
      <c r="P9" s="12">
        <f>D8*$B$24</f>
        <v>5000</v>
      </c>
      <c r="Q9" s="12">
        <f t="shared" ref="Q9:Z9" si="2">E8*$B$24</f>
        <v>5000</v>
      </c>
      <c r="R9" s="12">
        <f t="shared" si="2"/>
        <v>5000</v>
      </c>
      <c r="S9" s="12">
        <f t="shared" si="2"/>
        <v>5000</v>
      </c>
      <c r="T9" s="12">
        <f t="shared" si="2"/>
        <v>5000</v>
      </c>
      <c r="U9" s="12">
        <f t="shared" si="2"/>
        <v>10000</v>
      </c>
      <c r="V9" s="12">
        <f t="shared" si="2"/>
        <v>5000</v>
      </c>
      <c r="W9" s="12">
        <f t="shared" si="2"/>
        <v>5000</v>
      </c>
      <c r="X9" s="12">
        <f t="shared" si="2"/>
        <v>5000</v>
      </c>
      <c r="Y9" s="12">
        <f t="shared" si="2"/>
        <v>5000</v>
      </c>
      <c r="Z9" s="12">
        <f t="shared" si="2"/>
        <v>5000</v>
      </c>
    </row>
    <row r="10" spans="1:26">
      <c r="A10" t="s">
        <v>19</v>
      </c>
      <c r="B10" s="2">
        <f>B12-SUM(B8:B9)</f>
        <v>1380000</v>
      </c>
      <c r="C10" s="2">
        <f>C12-SUM(C8:C9)</f>
        <v>2090000</v>
      </c>
      <c r="D10" s="2">
        <f t="shared" ref="D10:Z10" si="3">D12-SUM(D8:D9)</f>
        <v>2445000</v>
      </c>
      <c r="E10" s="2">
        <f t="shared" si="3"/>
        <v>2795000</v>
      </c>
      <c r="F10" s="2">
        <f t="shared" si="3"/>
        <v>3145000</v>
      </c>
      <c r="G10" s="2">
        <f t="shared" si="3"/>
        <v>3495000</v>
      </c>
      <c r="H10" s="2">
        <f t="shared" si="3"/>
        <v>3845000</v>
      </c>
      <c r="I10" s="2">
        <f t="shared" si="3"/>
        <v>4540000</v>
      </c>
      <c r="J10" s="2">
        <f t="shared" si="3"/>
        <v>4895000</v>
      </c>
      <c r="K10" s="2">
        <f t="shared" si="3"/>
        <v>5245000</v>
      </c>
      <c r="L10" s="2">
        <f t="shared" si="3"/>
        <v>5595000</v>
      </c>
      <c r="M10" s="2">
        <f t="shared" si="3"/>
        <v>5945000</v>
      </c>
      <c r="N10" s="2">
        <f t="shared" si="3"/>
        <v>6295000</v>
      </c>
      <c r="O10" s="2">
        <f t="shared" si="3"/>
        <v>6615000</v>
      </c>
      <c r="P10" s="2">
        <f t="shared" si="3"/>
        <v>6990000</v>
      </c>
      <c r="Q10" s="2">
        <f t="shared" si="3"/>
        <v>7340000</v>
      </c>
      <c r="R10" s="2">
        <f t="shared" si="3"/>
        <v>7690000</v>
      </c>
      <c r="S10" s="2">
        <f t="shared" si="3"/>
        <v>8040000</v>
      </c>
      <c r="T10" s="2">
        <f t="shared" si="3"/>
        <v>8390000</v>
      </c>
      <c r="U10" s="2">
        <f t="shared" si="3"/>
        <v>8735000</v>
      </c>
      <c r="V10" s="2">
        <f t="shared" si="3"/>
        <v>9090000</v>
      </c>
      <c r="W10" s="2">
        <f t="shared" si="3"/>
        <v>9440000</v>
      </c>
      <c r="X10" s="2">
        <f t="shared" si="3"/>
        <v>9790000</v>
      </c>
      <c r="Y10" s="2">
        <f t="shared" si="3"/>
        <v>10140000</v>
      </c>
      <c r="Z10" s="2">
        <f t="shared" si="3"/>
        <v>10490000</v>
      </c>
    </row>
    <row r="11" spans="1:26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t="s">
        <v>18</v>
      </c>
      <c r="B12" s="2">
        <f>ROUNDUP(B3*'Reference Data'!$B$3,0)</f>
        <v>1400000</v>
      </c>
      <c r="C12" s="2">
        <f>ROUNDUP(C3*'Reference Data'!$B$3,0)</f>
        <v>2100000</v>
      </c>
      <c r="D12" s="2">
        <f>ROUNDUP(D3*'Reference Data'!$B$3,0)</f>
        <v>2450000</v>
      </c>
      <c r="E12" s="2">
        <f>ROUNDUP(E3*'Reference Data'!$B$3,0)</f>
        <v>2800000</v>
      </c>
      <c r="F12" s="2">
        <f>ROUNDUP(F3*'Reference Data'!$B$3,0)</f>
        <v>3150000</v>
      </c>
      <c r="G12" s="2">
        <f>ROUNDUP(G3*'Reference Data'!$B$3,0)</f>
        <v>3500000</v>
      </c>
      <c r="H12" s="2">
        <f>ROUNDUP(H3*'Reference Data'!$B$3,0)</f>
        <v>3850000</v>
      </c>
      <c r="I12" s="2">
        <f>ROUNDUP(I3*'Reference Data'!$B$3,0)</f>
        <v>4550000</v>
      </c>
      <c r="J12" s="2">
        <f>ROUNDUP(J3*'Reference Data'!$B$3,0)</f>
        <v>4900000</v>
      </c>
      <c r="K12" s="2">
        <f>ROUNDUP(K3*'Reference Data'!$B$3,0)</f>
        <v>5250000</v>
      </c>
      <c r="L12" s="2">
        <f>ROUNDUP(L3*'Reference Data'!$B$3,0)</f>
        <v>5600000</v>
      </c>
      <c r="M12" s="2">
        <f>ROUNDUP(M3*'Reference Data'!$B$3,0)</f>
        <v>5950000</v>
      </c>
      <c r="N12" s="2">
        <f>ROUNDUP(N3*'Reference Data'!$B$3,0)</f>
        <v>6300000</v>
      </c>
      <c r="O12" s="2">
        <f>ROUNDUP(O3*'Reference Data'!$B$3,0)</f>
        <v>6650000</v>
      </c>
      <c r="P12" s="2">
        <f>ROUNDUP(P3*'Reference Data'!$B$3,0)</f>
        <v>7000000</v>
      </c>
      <c r="Q12" s="2">
        <f>ROUNDUP(Q3*'Reference Data'!$B$3,0)</f>
        <v>7350000</v>
      </c>
      <c r="R12" s="2">
        <f>ROUNDUP(R3*'Reference Data'!$B$3,0)</f>
        <v>7700000</v>
      </c>
      <c r="S12" s="2">
        <f>ROUNDUP(S3*'Reference Data'!$B$3,0)</f>
        <v>8050000</v>
      </c>
      <c r="T12" s="2">
        <f>ROUNDUP(T3*'Reference Data'!$B$3,0)</f>
        <v>8400000</v>
      </c>
      <c r="U12" s="2">
        <f>ROUNDUP(U3*'Reference Data'!$B$3,0)</f>
        <v>8750000</v>
      </c>
      <c r="V12" s="2">
        <f>ROUNDUP(V3*'Reference Data'!$B$3,0)</f>
        <v>9100000</v>
      </c>
      <c r="W12" s="2">
        <f>ROUNDUP(W3*'Reference Data'!$B$3,0)</f>
        <v>9450000</v>
      </c>
      <c r="X12" s="2">
        <f>ROUNDUP(X3*'Reference Data'!$B$3,0)</f>
        <v>9800000</v>
      </c>
      <c r="Y12" s="2">
        <f>ROUNDUP(Y3*'Reference Data'!$B$3,0)</f>
        <v>10150000</v>
      </c>
      <c r="Z12" s="2">
        <f>ROUNDUP(Z3*'Reference Data'!$B$3,0)</f>
        <v>10500000</v>
      </c>
    </row>
    <row r="13" spans="1:26">
      <c r="A13" t="s">
        <v>10</v>
      </c>
      <c r="B13" s="1">
        <f>(B12*'Reference Data'!$B$7*'Reference Data'!$B$8)/(5*60)</f>
        <v>14</v>
      </c>
      <c r="C13" s="1">
        <f>(C12*'Reference Data'!$B$7*'Reference Data'!$B$8)/(5*60)</f>
        <v>21</v>
      </c>
      <c r="D13" s="1">
        <f>(D12*'Reference Data'!$B$7*'Reference Data'!$B$8)/(5*60)</f>
        <v>24.5</v>
      </c>
      <c r="E13" s="1">
        <f>(E12*'Reference Data'!$B$7*'Reference Data'!$B$8)/(5*60)</f>
        <v>28</v>
      </c>
      <c r="F13" s="1">
        <f>(F12*'Reference Data'!$B$7*'Reference Data'!$B$8)/(5*60)</f>
        <v>31.5</v>
      </c>
      <c r="G13" s="1">
        <f>(G12*'Reference Data'!$B$7*'Reference Data'!$B$8)/(5*60)</f>
        <v>35</v>
      </c>
      <c r="H13" s="1">
        <f>(H12*'Reference Data'!$B$7*'Reference Data'!$B$8)/(5*60)</f>
        <v>38.5</v>
      </c>
      <c r="I13" s="1">
        <f>(I12*'Reference Data'!$B$7*'Reference Data'!$B$8)/(5*60)</f>
        <v>45.5</v>
      </c>
      <c r="J13" s="1">
        <f>(J12*'Reference Data'!$B$7*'Reference Data'!$B$8)/(5*60)</f>
        <v>49</v>
      </c>
      <c r="K13" s="1">
        <f>(K12*'Reference Data'!$B$7*'Reference Data'!$B$8)/(5*60)</f>
        <v>52.5</v>
      </c>
      <c r="L13" s="1">
        <f>(L12*'Reference Data'!$B$7*'Reference Data'!$B$8)/(5*60)</f>
        <v>56</v>
      </c>
      <c r="M13" s="1">
        <f>(M12*'Reference Data'!$B$7*'Reference Data'!$B$8)/(5*60)</f>
        <v>59.5</v>
      </c>
      <c r="N13" s="1">
        <f>(N12*'Reference Data'!$B$7*'Reference Data'!$B$8)/(5*60)</f>
        <v>63</v>
      </c>
      <c r="O13" s="1">
        <f>(O12*'Reference Data'!$B$7*'Reference Data'!$B$8)/(5*60)</f>
        <v>66.5</v>
      </c>
      <c r="P13" s="1">
        <f>(P12*'Reference Data'!$B$7*'Reference Data'!$B$8)/(5*60)</f>
        <v>70</v>
      </c>
      <c r="Q13" s="1">
        <f>(Q12*'Reference Data'!$B$7*'Reference Data'!$B$8)/(5*60)</f>
        <v>73.5</v>
      </c>
      <c r="R13" s="1">
        <f>(R12*'Reference Data'!$B$7*'Reference Data'!$B$8)/(5*60)</f>
        <v>77</v>
      </c>
      <c r="S13" s="1">
        <f>(S12*'Reference Data'!$B$7*'Reference Data'!$B$8)/(5*60)</f>
        <v>80.5</v>
      </c>
      <c r="T13" s="1">
        <f>(T12*'Reference Data'!$B$7*'Reference Data'!$B$8)/(5*60)</f>
        <v>84</v>
      </c>
      <c r="U13" s="1">
        <f>(U12*'Reference Data'!$B$7*'Reference Data'!$B$8)/(5*60)</f>
        <v>87.5</v>
      </c>
      <c r="V13" s="1">
        <f>(V12*'Reference Data'!$B$7*'Reference Data'!$B$8)/(5*60)</f>
        <v>91</v>
      </c>
      <c r="W13" s="1">
        <f>(W12*'Reference Data'!$B$7*'Reference Data'!$B$8)/(5*60)</f>
        <v>94.5</v>
      </c>
      <c r="X13" s="1">
        <f>(X12*'Reference Data'!$B$7*'Reference Data'!$B$8)/(5*60)</f>
        <v>98</v>
      </c>
      <c r="Y13" s="1">
        <f>(Y12*'Reference Data'!$B$7*'Reference Data'!$B$8)/(5*60)</f>
        <v>101.5</v>
      </c>
      <c r="Z13" s="1">
        <f>(Z12*'Reference Data'!$B$7*'Reference Data'!$B$8)/(5*60)</f>
        <v>105</v>
      </c>
    </row>
    <row r="14" spans="1:26">
      <c r="A14" t="s">
        <v>11</v>
      </c>
      <c r="B14" s="1">
        <f>B12/(30*24*60*60)</f>
        <v>0.54012345679012341</v>
      </c>
      <c r="C14" s="1">
        <f>C12/(30*24*60*60)</f>
        <v>0.81018518518518523</v>
      </c>
      <c r="D14" s="1">
        <f t="shared" ref="D14:Z14" si="4">D12/(30*24*60*60)</f>
        <v>0.94521604938271608</v>
      </c>
      <c r="E14" s="1">
        <f t="shared" si="4"/>
        <v>1.0802469135802468</v>
      </c>
      <c r="F14" s="1">
        <f t="shared" si="4"/>
        <v>1.2152777777777777</v>
      </c>
      <c r="G14" s="1">
        <f t="shared" si="4"/>
        <v>1.3503086419753085</v>
      </c>
      <c r="H14" s="1">
        <f t="shared" si="4"/>
        <v>1.4853395061728396</v>
      </c>
      <c r="I14" s="1">
        <f t="shared" si="4"/>
        <v>1.7554012345679013</v>
      </c>
      <c r="J14" s="1">
        <f t="shared" si="4"/>
        <v>1.8904320987654322</v>
      </c>
      <c r="K14" s="1">
        <f t="shared" si="4"/>
        <v>2.0254629629629628</v>
      </c>
      <c r="L14" s="1">
        <f t="shared" si="4"/>
        <v>2.1604938271604937</v>
      </c>
      <c r="M14" s="1">
        <f t="shared" si="4"/>
        <v>2.2955246913580245</v>
      </c>
      <c r="N14" s="1">
        <f t="shared" si="4"/>
        <v>2.4305555555555554</v>
      </c>
      <c r="O14" s="1">
        <f t="shared" si="4"/>
        <v>2.5655864197530862</v>
      </c>
      <c r="P14" s="1">
        <f t="shared" si="4"/>
        <v>2.7006172839506171</v>
      </c>
      <c r="Q14" s="1">
        <f t="shared" si="4"/>
        <v>2.8356481481481484</v>
      </c>
      <c r="R14" s="1">
        <f t="shared" si="4"/>
        <v>2.9706790123456792</v>
      </c>
      <c r="S14" s="1">
        <f t="shared" si="4"/>
        <v>3.1057098765432101</v>
      </c>
      <c r="T14" s="1">
        <f t="shared" si="4"/>
        <v>3.2407407407407409</v>
      </c>
      <c r="U14" s="1">
        <f t="shared" si="4"/>
        <v>3.3757716049382718</v>
      </c>
      <c r="V14" s="1">
        <f t="shared" si="4"/>
        <v>3.5108024691358026</v>
      </c>
      <c r="W14" s="1">
        <f t="shared" si="4"/>
        <v>3.6458333333333335</v>
      </c>
      <c r="X14" s="1">
        <f t="shared" si="4"/>
        <v>3.7808641975308643</v>
      </c>
      <c r="Y14" s="1">
        <f t="shared" si="4"/>
        <v>3.9158950617283952</v>
      </c>
      <c r="Z14" s="1">
        <f t="shared" si="4"/>
        <v>4.0509259259259256</v>
      </c>
    </row>
    <row r="15" spans="1:26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t="s">
        <v>20</v>
      </c>
      <c r="B16" s="2">
        <f>ROUNDUP(B3*'Reference Data'!$B$4,0)</f>
        <v>600000</v>
      </c>
      <c r="C16" s="2">
        <f>ROUNDUP(C3*'Reference Data'!$B$4,0)</f>
        <v>900000</v>
      </c>
      <c r="D16" s="2">
        <f>ROUNDUP(D3*'Reference Data'!$B$4,0)</f>
        <v>1050000</v>
      </c>
      <c r="E16" s="2">
        <f>ROUNDUP(E3*'Reference Data'!$B$4,0)</f>
        <v>1200000</v>
      </c>
      <c r="F16" s="2">
        <f>ROUNDUP(F3*'Reference Data'!$B$4,0)</f>
        <v>1350000</v>
      </c>
      <c r="G16" s="2">
        <f>ROUNDUP(G3*'Reference Data'!$B$4,0)</f>
        <v>1500000</v>
      </c>
      <c r="H16" s="2">
        <f>ROUNDUP(H3*'Reference Data'!$B$4,0)</f>
        <v>1650000</v>
      </c>
      <c r="I16" s="2">
        <f>ROUNDUP(I3*'Reference Data'!$B$4,0)</f>
        <v>1950000</v>
      </c>
      <c r="J16" s="2">
        <f>ROUNDUP(J3*'Reference Data'!$B$4,0)</f>
        <v>2100000</v>
      </c>
      <c r="K16" s="2">
        <f>ROUNDUP(K3*'Reference Data'!$B$4,0)</f>
        <v>2250000</v>
      </c>
      <c r="L16" s="2">
        <f>ROUNDUP(L3*'Reference Data'!$B$4,0)</f>
        <v>2400000</v>
      </c>
      <c r="M16" s="2">
        <f>ROUNDUP(M3*'Reference Data'!$B$4,0)</f>
        <v>2550000</v>
      </c>
      <c r="N16" s="2">
        <f>ROUNDUP(N3*'Reference Data'!$B$4,0)</f>
        <v>2700000</v>
      </c>
      <c r="O16" s="2">
        <f>ROUNDUP(O3*'Reference Data'!$B$4,0)</f>
        <v>2850000</v>
      </c>
      <c r="P16" s="2">
        <f>ROUNDUP(P3*'Reference Data'!$B$4,0)</f>
        <v>3000000</v>
      </c>
      <c r="Q16" s="2">
        <f>ROUNDUP(Q3*'Reference Data'!$B$4,0)</f>
        <v>3150000</v>
      </c>
      <c r="R16" s="2">
        <f>ROUNDUP(R3*'Reference Data'!$B$4,0)</f>
        <v>3300000</v>
      </c>
      <c r="S16" s="2">
        <f>ROUNDUP(S3*'Reference Data'!$B$4,0)</f>
        <v>3450000</v>
      </c>
      <c r="T16" s="2">
        <f>ROUNDUP(T3*'Reference Data'!$B$4,0)</f>
        <v>3600000</v>
      </c>
      <c r="U16" s="2">
        <f>ROUNDUP(U3*'Reference Data'!$B$4,0)</f>
        <v>3750000</v>
      </c>
      <c r="V16" s="2">
        <f>ROUNDUP(V3*'Reference Data'!$B$4,0)</f>
        <v>3900000</v>
      </c>
      <c r="W16" s="2">
        <f>ROUNDUP(W3*'Reference Data'!$B$4,0)</f>
        <v>4050000</v>
      </c>
      <c r="X16" s="2">
        <f>ROUNDUP(X3*'Reference Data'!$B$4,0)</f>
        <v>4200000</v>
      </c>
      <c r="Y16" s="2">
        <f>ROUNDUP(Y3*'Reference Data'!$B$4,0)</f>
        <v>4350000</v>
      </c>
      <c r="Z16" s="2">
        <f>ROUNDUP(Z3*'Reference Data'!$B$4,0)</f>
        <v>4500000</v>
      </c>
    </row>
    <row r="17" spans="1:26">
      <c r="A17" t="s">
        <v>12</v>
      </c>
      <c r="B17" s="1">
        <f>(B16*'Reference Data'!$B$7*'Reference Data'!$B$8)/(5*60)</f>
        <v>6</v>
      </c>
      <c r="C17" s="1">
        <f>(C16*'Reference Data'!$B$7*'Reference Data'!$B$8)/(5*60)</f>
        <v>9</v>
      </c>
      <c r="D17" s="1">
        <f>(D16*'Reference Data'!$B$7*'Reference Data'!$B$8)/(5*60)</f>
        <v>10.5</v>
      </c>
      <c r="E17" s="1">
        <f>(E16*'Reference Data'!$B$7*'Reference Data'!$B$8)/(5*60)</f>
        <v>12</v>
      </c>
      <c r="F17" s="1">
        <f>(F16*'Reference Data'!$B$7*'Reference Data'!$B$8)/(5*60)</f>
        <v>13.5</v>
      </c>
      <c r="G17" s="1">
        <f>(G16*'Reference Data'!$B$7*'Reference Data'!$B$8)/(5*60)</f>
        <v>15</v>
      </c>
      <c r="H17" s="1">
        <f>(H16*'Reference Data'!$B$7*'Reference Data'!$B$8)/(5*60)</f>
        <v>16.5</v>
      </c>
      <c r="I17" s="1">
        <f>(I16*'Reference Data'!$B$7*'Reference Data'!$B$8)/(5*60)</f>
        <v>19.5</v>
      </c>
      <c r="J17" s="1">
        <f>(J16*'Reference Data'!$B$7*'Reference Data'!$B$8)/(5*60)</f>
        <v>21</v>
      </c>
      <c r="K17" s="1">
        <f>(K16*'Reference Data'!$B$7*'Reference Data'!$B$8)/(5*60)</f>
        <v>22.5</v>
      </c>
      <c r="L17" s="1">
        <f>(L16*'Reference Data'!$B$7*'Reference Data'!$B$8)/(5*60)</f>
        <v>24</v>
      </c>
      <c r="M17" s="1">
        <f>(M16*'Reference Data'!$B$7*'Reference Data'!$B$8)/(5*60)</f>
        <v>25.5</v>
      </c>
      <c r="N17" s="1">
        <f>(N16*'Reference Data'!$B$7*'Reference Data'!$B$8)/(5*60)</f>
        <v>27</v>
      </c>
      <c r="O17" s="1">
        <f>(O16*'Reference Data'!$B$7*'Reference Data'!$B$8)/(5*60)</f>
        <v>28.5</v>
      </c>
      <c r="P17" s="1">
        <f>(P16*'Reference Data'!$B$7*'Reference Data'!$B$8)/(5*60)</f>
        <v>30</v>
      </c>
      <c r="Q17" s="1">
        <f>(Q16*'Reference Data'!$B$7*'Reference Data'!$B$8)/(5*60)</f>
        <v>31.5</v>
      </c>
      <c r="R17" s="1">
        <f>(R16*'Reference Data'!$B$7*'Reference Data'!$B$8)/(5*60)</f>
        <v>33</v>
      </c>
      <c r="S17" s="1">
        <f>(S16*'Reference Data'!$B$7*'Reference Data'!$B$8)/(5*60)</f>
        <v>34.5</v>
      </c>
      <c r="T17" s="1">
        <f>(T16*'Reference Data'!$B$7*'Reference Data'!$B$8)/(5*60)</f>
        <v>36</v>
      </c>
      <c r="U17" s="1">
        <f>(U16*'Reference Data'!$B$7*'Reference Data'!$B$8)/(5*60)</f>
        <v>37.5</v>
      </c>
      <c r="V17" s="1">
        <f>(V16*'Reference Data'!$B$7*'Reference Data'!$B$8)/(5*60)</f>
        <v>39</v>
      </c>
      <c r="W17" s="1">
        <f>(W16*'Reference Data'!$B$7*'Reference Data'!$B$8)/(5*60)</f>
        <v>40.5</v>
      </c>
      <c r="X17" s="1">
        <f>(X16*'Reference Data'!$B$7*'Reference Data'!$B$8)/(5*60)</f>
        <v>42</v>
      </c>
      <c r="Y17" s="1">
        <f>(Y16*'Reference Data'!$B$7*'Reference Data'!$B$8)/(5*60)</f>
        <v>43.5</v>
      </c>
      <c r="Z17" s="1">
        <f>(Z16*'Reference Data'!$B$7*'Reference Data'!$B$8)/(5*60)</f>
        <v>45</v>
      </c>
    </row>
    <row r="18" spans="1:26">
      <c r="A18" t="s">
        <v>13</v>
      </c>
      <c r="B18" s="7">
        <f>B16/(30*24*60*60)</f>
        <v>0.23148148148148148</v>
      </c>
      <c r="C18" s="7">
        <f t="shared" ref="C18:Z18" si="5">C16/(30*24*60*60)</f>
        <v>0.34722222222222221</v>
      </c>
      <c r="D18" s="7">
        <f t="shared" si="5"/>
        <v>0.40509259259259262</v>
      </c>
      <c r="E18" s="7">
        <f t="shared" si="5"/>
        <v>0.46296296296296297</v>
      </c>
      <c r="F18" s="7">
        <f t="shared" si="5"/>
        <v>0.52083333333333337</v>
      </c>
      <c r="G18" s="7">
        <f t="shared" si="5"/>
        <v>0.57870370370370372</v>
      </c>
      <c r="H18" s="7">
        <f t="shared" si="5"/>
        <v>0.63657407407407407</v>
      </c>
      <c r="I18" s="7">
        <f t="shared" si="5"/>
        <v>0.75231481481481477</v>
      </c>
      <c r="J18" s="7">
        <f t="shared" si="5"/>
        <v>0.81018518518518523</v>
      </c>
      <c r="K18" s="7">
        <f t="shared" si="5"/>
        <v>0.86805555555555558</v>
      </c>
      <c r="L18" s="7">
        <f t="shared" si="5"/>
        <v>0.92592592592592593</v>
      </c>
      <c r="M18" s="7">
        <f t="shared" si="5"/>
        <v>0.98379629629629628</v>
      </c>
      <c r="N18" s="7">
        <f t="shared" si="5"/>
        <v>1.0416666666666667</v>
      </c>
      <c r="O18" s="7">
        <f t="shared" si="5"/>
        <v>1.099537037037037</v>
      </c>
      <c r="P18" s="7">
        <f t="shared" si="5"/>
        <v>1.1574074074074074</v>
      </c>
      <c r="Q18" s="7">
        <f t="shared" si="5"/>
        <v>1.2152777777777777</v>
      </c>
      <c r="R18" s="7">
        <f t="shared" si="5"/>
        <v>1.2731481481481481</v>
      </c>
      <c r="S18" s="7">
        <f t="shared" si="5"/>
        <v>1.3310185185185186</v>
      </c>
      <c r="T18" s="7">
        <f t="shared" si="5"/>
        <v>1.3888888888888888</v>
      </c>
      <c r="U18" s="7">
        <f t="shared" si="5"/>
        <v>1.4467592592592593</v>
      </c>
      <c r="V18" s="7">
        <f t="shared" si="5"/>
        <v>1.5046296296296295</v>
      </c>
      <c r="W18" s="7">
        <f t="shared" si="5"/>
        <v>1.5625</v>
      </c>
      <c r="X18" s="7">
        <f t="shared" si="5"/>
        <v>1.6203703703703705</v>
      </c>
      <c r="Y18" s="7">
        <f t="shared" si="5"/>
        <v>1.6782407407407407</v>
      </c>
      <c r="Z18" s="7">
        <f t="shared" si="5"/>
        <v>1.7361111111111112</v>
      </c>
    </row>
    <row r="19" spans="1:26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t="s">
        <v>21</v>
      </c>
      <c r="B20" s="2">
        <f>ROUNDUP(B3*'Reference Data'!$B$5,0)</f>
        <v>433240000</v>
      </c>
      <c r="C20" s="2">
        <f>ROUNDUP(C3*'Reference Data'!$B$5,0)</f>
        <v>649860000</v>
      </c>
      <c r="D20" s="2">
        <f>ROUNDUP(D3*'Reference Data'!$B$5,0)</f>
        <v>758170000</v>
      </c>
      <c r="E20" s="2">
        <f>ROUNDUP(E3*'Reference Data'!$B$5,0)</f>
        <v>866480000</v>
      </c>
      <c r="F20" s="2">
        <f>ROUNDUP(F3*'Reference Data'!$B$5,0)</f>
        <v>974790000</v>
      </c>
      <c r="G20" s="2">
        <f>ROUNDUP(G3*'Reference Data'!$B$5,0)</f>
        <v>1083100000</v>
      </c>
      <c r="H20" s="2">
        <f>ROUNDUP(H3*'Reference Data'!$B$5,0)</f>
        <v>1191410000</v>
      </c>
      <c r="I20" s="2">
        <f>ROUNDUP(I3*'Reference Data'!$B$5,0)</f>
        <v>1408030000</v>
      </c>
      <c r="J20" s="2">
        <f>ROUNDUP(J3*'Reference Data'!$B$5,0)</f>
        <v>1516340000</v>
      </c>
      <c r="K20" s="2">
        <f>ROUNDUP(K3*'Reference Data'!$B$5,0)</f>
        <v>1624650000</v>
      </c>
      <c r="L20" s="2">
        <f>ROUNDUP(L3*'Reference Data'!$B$5,0)</f>
        <v>1732960000</v>
      </c>
      <c r="M20" s="2">
        <f>ROUNDUP(M3*'Reference Data'!$B$5,0)</f>
        <v>1841270000</v>
      </c>
      <c r="N20" s="2">
        <f>ROUNDUP(N3*'Reference Data'!$B$5,0)</f>
        <v>1949580000</v>
      </c>
      <c r="O20" s="2">
        <f>ROUNDUP(O3*'Reference Data'!$B$5,0)</f>
        <v>2057890000</v>
      </c>
      <c r="P20" s="2">
        <f>ROUNDUP(P3*'Reference Data'!$B$5,0)</f>
        <v>2166200000</v>
      </c>
      <c r="Q20" s="2">
        <f>ROUNDUP(Q3*'Reference Data'!$B$5,0)</f>
        <v>2274510000</v>
      </c>
      <c r="R20" s="2">
        <f>ROUNDUP(R3*'Reference Data'!$B$5,0)</f>
        <v>2382820000</v>
      </c>
      <c r="S20" s="2">
        <f>ROUNDUP(S3*'Reference Data'!$B$5,0)</f>
        <v>2491130000</v>
      </c>
      <c r="T20" s="2">
        <f>ROUNDUP(T3*'Reference Data'!$B$5,0)</f>
        <v>2599440000</v>
      </c>
      <c r="U20" s="2">
        <f>ROUNDUP(U3*'Reference Data'!$B$5,0)</f>
        <v>2707750000</v>
      </c>
      <c r="V20" s="2">
        <f>ROUNDUP(V3*'Reference Data'!$B$5,0)</f>
        <v>2816060000</v>
      </c>
      <c r="W20" s="2">
        <f>ROUNDUP(W3*'Reference Data'!$B$5,0)</f>
        <v>2924370000</v>
      </c>
      <c r="X20" s="2">
        <f>ROUNDUP(X3*'Reference Data'!$B$5,0)</f>
        <v>3032680000</v>
      </c>
      <c r="Y20" s="2">
        <f>ROUNDUP(Y3*'Reference Data'!$B$5,0)</f>
        <v>3140990000</v>
      </c>
      <c r="Z20" s="2">
        <f>ROUNDUP(Z3*'Reference Data'!$B$5,0)</f>
        <v>3249300000</v>
      </c>
    </row>
    <row r="21" spans="1:26">
      <c r="A21" t="s">
        <v>15</v>
      </c>
      <c r="B21" s="1">
        <f>(B20*'Reference Data'!$B$9*'Reference Data'!$B$10)/(5*60)</f>
        <v>231.06133333333332</v>
      </c>
      <c r="C21" s="1">
        <f>(C20*'Reference Data'!$B$9*'Reference Data'!$B$10)/(5*60)</f>
        <v>346.59200000000004</v>
      </c>
      <c r="D21" s="1">
        <f>(D20*'Reference Data'!$B$9*'Reference Data'!$B$10)/(5*60)</f>
        <v>404.35733333333332</v>
      </c>
      <c r="E21" s="1">
        <f>(E20*'Reference Data'!$B$9*'Reference Data'!$B$10)/(5*60)</f>
        <v>462.12266666666665</v>
      </c>
      <c r="F21" s="1">
        <f>(F20*'Reference Data'!$B$9*'Reference Data'!$B$10)/(5*60)</f>
        <v>519.88800000000003</v>
      </c>
      <c r="G21" s="1">
        <f>(G20*'Reference Data'!$B$9*'Reference Data'!$B$10)/(5*60)</f>
        <v>577.65333333333331</v>
      </c>
      <c r="H21" s="1">
        <f>(H20*'Reference Data'!$B$9*'Reference Data'!$B$10)/(5*60)</f>
        <v>635.4186666666667</v>
      </c>
      <c r="I21" s="1">
        <f>(I20*'Reference Data'!$B$9*'Reference Data'!$B$10)/(5*60)</f>
        <v>750.94933333333336</v>
      </c>
      <c r="J21" s="1">
        <f>(J20*'Reference Data'!$B$9*'Reference Data'!$B$10)/(5*60)</f>
        <v>808.71466666666663</v>
      </c>
      <c r="K21" s="1">
        <f>(K20*'Reference Data'!$B$9*'Reference Data'!$B$10)/(5*60)</f>
        <v>866.48</v>
      </c>
      <c r="L21" s="1">
        <f>(L20*'Reference Data'!$B$9*'Reference Data'!$B$10)/(5*60)</f>
        <v>924.24533333333329</v>
      </c>
      <c r="M21" s="1">
        <f>(M20*'Reference Data'!$B$9*'Reference Data'!$B$10)/(5*60)</f>
        <v>982.01066666666668</v>
      </c>
      <c r="N21" s="1">
        <f>(N20*'Reference Data'!$B$9*'Reference Data'!$B$10)/(5*60)</f>
        <v>1039.7760000000001</v>
      </c>
      <c r="O21" s="1">
        <f>(O20*'Reference Data'!$B$9*'Reference Data'!$B$10)/(5*60)</f>
        <v>1097.5413333333333</v>
      </c>
      <c r="P21" s="1">
        <f>(P20*'Reference Data'!$B$9*'Reference Data'!$B$10)/(5*60)</f>
        <v>1155.3066666666666</v>
      </c>
      <c r="Q21" s="1">
        <f>(Q20*'Reference Data'!$B$9*'Reference Data'!$B$10)/(5*60)</f>
        <v>1213.0720000000001</v>
      </c>
      <c r="R21" s="1">
        <f>(R20*'Reference Data'!$B$9*'Reference Data'!$B$10)/(5*60)</f>
        <v>1270.8373333333334</v>
      </c>
      <c r="S21" s="1">
        <f>(S20*'Reference Data'!$B$9*'Reference Data'!$B$10)/(5*60)</f>
        <v>1328.6026666666667</v>
      </c>
      <c r="T21" s="1">
        <f>(T20*'Reference Data'!$B$9*'Reference Data'!$B$10)/(5*60)</f>
        <v>1386.3680000000002</v>
      </c>
      <c r="U21" s="1">
        <f>(U20*'Reference Data'!$B$9*'Reference Data'!$B$10)/(5*60)</f>
        <v>1444.1333333333334</v>
      </c>
      <c r="V21" s="1">
        <f>(V20*'Reference Data'!$B$9*'Reference Data'!$B$10)/(5*60)</f>
        <v>1501.8986666666667</v>
      </c>
      <c r="W21" s="1">
        <f>(W20*'Reference Data'!$B$9*'Reference Data'!$B$10)/(5*60)</f>
        <v>1559.664</v>
      </c>
      <c r="X21" s="1">
        <f>(X20*'Reference Data'!$B$9*'Reference Data'!$B$10)/(5*60)</f>
        <v>1617.4293333333333</v>
      </c>
      <c r="Y21" s="1">
        <f>(Y20*'Reference Data'!$B$9*'Reference Data'!$B$10)/(5*60)</f>
        <v>1675.1946666666668</v>
      </c>
      <c r="Z21" s="1">
        <f>(Z20*'Reference Data'!$B$9*'Reference Data'!$B$10)/(5*60)</f>
        <v>1732.96</v>
      </c>
    </row>
    <row r="22" spans="1:26">
      <c r="A22" t="s">
        <v>14</v>
      </c>
      <c r="B22" s="1">
        <f>B20/(30*24*60*60)</f>
        <v>167.14506172839506</v>
      </c>
      <c r="C22" s="1">
        <f t="shared" ref="C22:Z22" si="6">C20/(30*24*60*60)</f>
        <v>250.71759259259258</v>
      </c>
      <c r="D22" s="1">
        <f t="shared" si="6"/>
        <v>292.50385802469134</v>
      </c>
      <c r="E22" s="1">
        <f t="shared" si="6"/>
        <v>334.29012345679013</v>
      </c>
      <c r="F22" s="1">
        <f t="shared" si="6"/>
        <v>376.07638888888891</v>
      </c>
      <c r="G22" s="1">
        <f t="shared" si="6"/>
        <v>417.86265432098764</v>
      </c>
      <c r="H22" s="1">
        <f t="shared" si="6"/>
        <v>459.64891975308643</v>
      </c>
      <c r="I22" s="1">
        <f t="shared" si="6"/>
        <v>543.22145061728395</v>
      </c>
      <c r="J22" s="1">
        <f t="shared" si="6"/>
        <v>585.00771604938268</v>
      </c>
      <c r="K22" s="1">
        <f t="shared" si="6"/>
        <v>626.79398148148152</v>
      </c>
      <c r="L22" s="1">
        <f t="shared" si="6"/>
        <v>668.58024691358025</v>
      </c>
      <c r="M22" s="1">
        <f t="shared" si="6"/>
        <v>710.36651234567898</v>
      </c>
      <c r="N22" s="1">
        <f t="shared" si="6"/>
        <v>752.15277777777783</v>
      </c>
      <c r="O22" s="1">
        <f t="shared" si="6"/>
        <v>793.93904320987656</v>
      </c>
      <c r="P22" s="1">
        <f t="shared" si="6"/>
        <v>835.72530864197529</v>
      </c>
      <c r="Q22" s="1">
        <f t="shared" si="6"/>
        <v>877.51157407407402</v>
      </c>
      <c r="R22" s="1">
        <f t="shared" si="6"/>
        <v>919.29783950617286</v>
      </c>
      <c r="S22" s="1">
        <f t="shared" si="6"/>
        <v>961.08410493827159</v>
      </c>
      <c r="T22" s="1">
        <f t="shared" si="6"/>
        <v>1002.8703703703703</v>
      </c>
      <c r="U22" s="1">
        <f t="shared" si="6"/>
        <v>1044.6566358024691</v>
      </c>
      <c r="V22" s="1">
        <f t="shared" si="6"/>
        <v>1086.4429012345679</v>
      </c>
      <c r="W22" s="1">
        <f t="shared" si="6"/>
        <v>1128.2291666666667</v>
      </c>
      <c r="X22" s="1">
        <f t="shared" si="6"/>
        <v>1170.0154320987654</v>
      </c>
      <c r="Y22" s="1">
        <f t="shared" si="6"/>
        <v>1211.8016975308642</v>
      </c>
      <c r="Z22" s="1">
        <f t="shared" si="6"/>
        <v>1253.587962962963</v>
      </c>
    </row>
    <row r="24" spans="1:26">
      <c r="A24" t="s">
        <v>24</v>
      </c>
      <c r="B24" s="10">
        <v>1</v>
      </c>
      <c r="O24" s="11"/>
      <c r="P24" s="11"/>
      <c r="Z24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opLeftCell="A4" workbookViewId="0">
      <selection activeCell="A37" sqref="A37"/>
    </sheetView>
  </sheetViews>
  <sheetFormatPr defaultRowHeight="15"/>
  <cols>
    <col min="1" max="1" width="59.625" style="14" customWidth="1"/>
    <col min="2" max="2" width="21.25" style="14" bestFit="1" customWidth="1"/>
    <col min="3" max="3" width="14.5" style="14" customWidth="1"/>
    <col min="4" max="4" width="9" style="14"/>
    <col min="5" max="5" width="11" style="14" bestFit="1" customWidth="1"/>
    <col min="6" max="16384" width="9" style="14"/>
  </cols>
  <sheetData>
    <row r="1" spans="1:5">
      <c r="A1" s="52" t="s">
        <v>90</v>
      </c>
      <c r="B1" s="52"/>
      <c r="C1" s="52"/>
      <c r="D1" s="52"/>
      <c r="E1" s="40"/>
    </row>
    <row r="3" spans="1:5" ht="15.75">
      <c r="A3" s="29" t="s">
        <v>74</v>
      </c>
      <c r="B3" s="36">
        <f>'Reference Data'!B14</f>
        <v>20000000</v>
      </c>
      <c r="C3" s="34"/>
    </row>
    <row r="4" spans="1:5">
      <c r="A4" s="31" t="s">
        <v>73</v>
      </c>
      <c r="B4" s="39">
        <f>MAX('Transaction Details'!B3:Z3)</f>
        <v>150000</v>
      </c>
    </row>
    <row r="6" spans="1:5">
      <c r="B6" s="29" t="s">
        <v>89</v>
      </c>
      <c r="C6" s="29" t="s">
        <v>88</v>
      </c>
    </row>
    <row r="7" spans="1:5" ht="15.75">
      <c r="A7" s="31" t="s">
        <v>87</v>
      </c>
      <c r="B7" s="30">
        <f>B3*'Reference Data'!B3</f>
        <v>1400000000</v>
      </c>
      <c r="C7" s="34">
        <f>(B7*'Reference Data'!$B$7*'Reference Data'!$B$8)/(5*60)</f>
        <v>14000</v>
      </c>
      <c r="E7" s="34"/>
    </row>
    <row r="8" spans="1:5" ht="15.75">
      <c r="A8" s="31" t="s">
        <v>86</v>
      </c>
      <c r="B8" s="30">
        <f>B3*'Reference Data'!B4</f>
        <v>600000000</v>
      </c>
      <c r="C8" s="34">
        <f>(B8*'Reference Data'!$B$7*'Reference Data'!$B$8)/(5*60)</f>
        <v>6000</v>
      </c>
    </row>
    <row r="9" spans="1:5" ht="15.75">
      <c r="A9" s="31" t="s">
        <v>102</v>
      </c>
      <c r="B9" s="48" t="s">
        <v>100</v>
      </c>
      <c r="C9" s="34">
        <f>'Reference Data'!B12</f>
        <v>3500</v>
      </c>
    </row>
    <row r="10" spans="1:5" ht="15.75">
      <c r="A10" s="31" t="s">
        <v>103</v>
      </c>
      <c r="B10" s="38">
        <f>'Reference Data'!B19</f>
        <v>13685760000000</v>
      </c>
      <c r="C10" s="35">
        <f>(B10*'Reference Data'!B9*'Reference Data'!B10)/(5*60)</f>
        <v>7299072</v>
      </c>
    </row>
    <row r="11" spans="1:5" ht="15.75">
      <c r="A11" s="31"/>
      <c r="B11" s="37"/>
    </row>
    <row r="12" spans="1:5" ht="15.75">
      <c r="A12" s="31" t="s">
        <v>85</v>
      </c>
      <c r="B12" s="30">
        <f>B4*'Reference Data'!B3</f>
        <v>10500000</v>
      </c>
      <c r="C12" s="14">
        <f>(B12*'Reference Data'!$B$7*'Reference Data'!$B$8)/(5*60)</f>
        <v>105</v>
      </c>
    </row>
    <row r="13" spans="1:5" ht="15.75">
      <c r="A13" s="31" t="s">
        <v>84</v>
      </c>
      <c r="B13" s="36">
        <f>B4*'Reference Data'!B4</f>
        <v>4500000</v>
      </c>
      <c r="C13" s="14">
        <f>(B13*'Reference Data'!$B$7*'Reference Data'!$B$8)/(5*60)</f>
        <v>45</v>
      </c>
    </row>
    <row r="14" spans="1:5">
      <c r="A14" s="31" t="s">
        <v>99</v>
      </c>
      <c r="B14" s="49" t="s">
        <v>100</v>
      </c>
      <c r="C14" s="33">
        <f>B4/B3*'Reference Data'!B12</f>
        <v>26.25</v>
      </c>
    </row>
    <row r="15" spans="1:5" ht="15.75">
      <c r="A15" s="31" t="s">
        <v>83</v>
      </c>
      <c r="B15" s="34">
        <f>B4*'Reference Data'!B5</f>
        <v>3249300000</v>
      </c>
      <c r="C15" s="35">
        <f>(B15*'Reference Data'!B9*'Reference Data'!B10)/(5*60)</f>
        <v>1732.96</v>
      </c>
    </row>
    <row r="16" spans="1:5">
      <c r="A16" s="31" t="s">
        <v>82</v>
      </c>
      <c r="B16" s="34">
        <f>B15*10</f>
        <v>32493000000</v>
      </c>
      <c r="C16" s="33">
        <f>C15*10</f>
        <v>17329.599999999999</v>
      </c>
    </row>
    <row r="18" spans="1:3">
      <c r="A18" s="31" t="s">
        <v>81</v>
      </c>
      <c r="B18" s="50">
        <f>B12/B7</f>
        <v>7.4999999999999997E-3</v>
      </c>
      <c r="C18" s="32" t="s">
        <v>77</v>
      </c>
    </row>
    <row r="19" spans="1:3">
      <c r="A19" s="31" t="s">
        <v>80</v>
      </c>
      <c r="B19" s="50">
        <f>B13/B8</f>
        <v>7.4999999999999997E-3</v>
      </c>
      <c r="C19" s="32" t="s">
        <v>77</v>
      </c>
    </row>
    <row r="20" spans="1:3">
      <c r="A20" s="31" t="s">
        <v>101</v>
      </c>
      <c r="B20" s="50">
        <f>C14/C9</f>
        <v>7.4999999999999997E-3</v>
      </c>
      <c r="C20" s="32" t="s">
        <v>77</v>
      </c>
    </row>
    <row r="21" spans="1:3" ht="15.75">
      <c r="A21" s="31" t="s">
        <v>79</v>
      </c>
      <c r="B21" s="51">
        <f>B15/B10</f>
        <v>2.3742196268237934E-4</v>
      </c>
    </row>
    <row r="22" spans="1:3">
      <c r="A22" s="31" t="s">
        <v>78</v>
      </c>
      <c r="B22" s="50">
        <f>B16/B10</f>
        <v>2.3742196268237933E-3</v>
      </c>
      <c r="C22" s="32" t="s">
        <v>77</v>
      </c>
    </row>
    <row r="25" spans="1:3">
      <c r="A25" s="31" t="s">
        <v>104</v>
      </c>
    </row>
    <row r="27" spans="1:3">
      <c r="A27" s="29" t="s">
        <v>76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activeCell="E60" sqref="E60"/>
    </sheetView>
  </sheetViews>
  <sheetFormatPr defaultRowHeight="15.75"/>
  <cols>
    <col min="1" max="1" width="41.5" style="14" bestFit="1" customWidth="1"/>
    <col min="2" max="2" width="11.125" style="14" bestFit="1" customWidth="1"/>
    <col min="3" max="3" width="5.25" style="15" bestFit="1" customWidth="1"/>
    <col min="4" max="4" width="10.375" style="15" bestFit="1" customWidth="1"/>
    <col min="5" max="5" width="12.125" style="14" bestFit="1" customWidth="1"/>
    <col min="6" max="16384" width="9" style="14"/>
  </cols>
  <sheetData>
    <row r="1" spans="1:5" ht="15">
      <c r="A1" s="52" t="s">
        <v>75</v>
      </c>
      <c r="B1" s="52"/>
      <c r="C1" s="52"/>
      <c r="D1" s="52"/>
      <c r="E1" s="52"/>
    </row>
    <row r="3" spans="1:5">
      <c r="A3" s="29" t="s">
        <v>97</v>
      </c>
      <c r="B3" s="30">
        <f>'Reference Data'!B15</f>
        <v>50000000</v>
      </c>
    </row>
    <row r="4" spans="1:5">
      <c r="A4" s="31" t="s">
        <v>73</v>
      </c>
      <c r="B4" s="39">
        <f>MAX('Transaction Details'!B3:Z3)</f>
        <v>150000</v>
      </c>
    </row>
    <row r="5" spans="1:5">
      <c r="A5" s="29" t="s">
        <v>72</v>
      </c>
      <c r="B5" s="28">
        <f>E53/D53</f>
        <v>2.9999999999999996E-3</v>
      </c>
    </row>
    <row r="7" spans="1:5" ht="45.75" customHeight="1">
      <c r="A7" s="54" t="s">
        <v>71</v>
      </c>
      <c r="B7" s="54" t="s">
        <v>70</v>
      </c>
      <c r="C7" s="53" t="s">
        <v>69</v>
      </c>
      <c r="D7" s="53"/>
      <c r="E7" s="27" t="s">
        <v>68</v>
      </c>
    </row>
    <row r="8" spans="1:5" ht="30">
      <c r="A8" s="54"/>
      <c r="B8" s="54"/>
      <c r="C8" s="26" t="s">
        <v>67</v>
      </c>
      <c r="D8" s="25" t="s">
        <v>66</v>
      </c>
      <c r="E8" s="25" t="s">
        <v>66</v>
      </c>
    </row>
    <row r="9" spans="1:5">
      <c r="A9" s="23" t="s">
        <v>65</v>
      </c>
      <c r="B9" s="19"/>
      <c r="C9" s="18"/>
      <c r="D9" s="18"/>
      <c r="E9" s="19"/>
    </row>
    <row r="10" spans="1:5">
      <c r="A10" s="19" t="s">
        <v>64</v>
      </c>
      <c r="B10" s="19">
        <v>1</v>
      </c>
      <c r="C10" s="18">
        <v>0.3</v>
      </c>
      <c r="D10" s="22">
        <f>C10*'Reference Data'!$B$17*B10</f>
        <v>72</v>
      </c>
      <c r="E10" s="21">
        <f>D10*($B$4/$B$3)</f>
        <v>0.216</v>
      </c>
    </row>
    <row r="11" spans="1:5">
      <c r="A11" s="19" t="s">
        <v>63</v>
      </c>
      <c r="B11" s="19">
        <v>1</v>
      </c>
      <c r="C11" s="18">
        <v>0.5</v>
      </c>
      <c r="D11" s="22">
        <f>C11*'Reference Data'!$B$17*B11</f>
        <v>120</v>
      </c>
      <c r="E11" s="21">
        <f t="shared" ref="E11:E51" si="0">D11*($B$4/$B$3)</f>
        <v>0.36</v>
      </c>
    </row>
    <row r="12" spans="1:5">
      <c r="A12" s="19" t="s">
        <v>62</v>
      </c>
      <c r="B12" s="19">
        <v>1</v>
      </c>
      <c r="C12" s="18">
        <v>0.7</v>
      </c>
      <c r="D12" s="22">
        <f>C12*'Reference Data'!$B$17*B12</f>
        <v>168</v>
      </c>
      <c r="E12" s="21">
        <f t="shared" si="0"/>
        <v>0.504</v>
      </c>
    </row>
    <row r="13" spans="1:5">
      <c r="A13" s="19" t="s">
        <v>61</v>
      </c>
      <c r="B13" s="19">
        <v>1</v>
      </c>
      <c r="C13" s="18">
        <v>0.5</v>
      </c>
      <c r="D13" s="22">
        <f>C13*'Reference Data'!$B$17*B13</f>
        <v>120</v>
      </c>
      <c r="E13" s="21">
        <f t="shared" si="0"/>
        <v>0.36</v>
      </c>
    </row>
    <row r="14" spans="1:5">
      <c r="A14" s="23" t="s">
        <v>60</v>
      </c>
      <c r="B14" s="19"/>
      <c r="C14" s="18"/>
      <c r="D14" s="22"/>
      <c r="E14" s="21"/>
    </row>
    <row r="15" spans="1:5">
      <c r="A15" s="19" t="s">
        <v>59</v>
      </c>
      <c r="B15" s="19">
        <v>1</v>
      </c>
      <c r="C15" s="18">
        <v>1</v>
      </c>
      <c r="D15" s="22">
        <f>C15*'Reference Data'!$B$17*B15</f>
        <v>240</v>
      </c>
      <c r="E15" s="21">
        <f t="shared" si="0"/>
        <v>0.72</v>
      </c>
    </row>
    <row r="16" spans="1:5">
      <c r="A16" s="19" t="s">
        <v>58</v>
      </c>
      <c r="B16" s="19">
        <v>3</v>
      </c>
      <c r="C16" s="18">
        <v>1</v>
      </c>
      <c r="D16" s="22">
        <f>C16*'Reference Data'!$B$17*B16</f>
        <v>720</v>
      </c>
      <c r="E16" s="21">
        <f t="shared" si="0"/>
        <v>2.16</v>
      </c>
    </row>
    <row r="17" spans="1:5">
      <c r="A17" s="23" t="s">
        <v>57</v>
      </c>
      <c r="B17" s="19"/>
      <c r="C17" s="18"/>
      <c r="D17" s="22"/>
      <c r="E17" s="21"/>
    </row>
    <row r="18" spans="1:5">
      <c r="A18" s="19" t="s">
        <v>56</v>
      </c>
      <c r="B18" s="19">
        <v>1</v>
      </c>
      <c r="C18" s="18">
        <v>1</v>
      </c>
      <c r="D18" s="22">
        <f>C18*'Reference Data'!$B$17*B18</f>
        <v>240</v>
      </c>
      <c r="E18" s="21">
        <f t="shared" si="0"/>
        <v>0.72</v>
      </c>
    </row>
    <row r="19" spans="1:5">
      <c r="A19" s="19" t="s">
        <v>55</v>
      </c>
      <c r="B19" s="19">
        <v>1</v>
      </c>
      <c r="C19" s="18">
        <v>1</v>
      </c>
      <c r="D19" s="22">
        <f>C19*'Reference Data'!$B$17*B19</f>
        <v>240</v>
      </c>
      <c r="E19" s="21">
        <f t="shared" si="0"/>
        <v>0.72</v>
      </c>
    </row>
    <row r="20" spans="1:5">
      <c r="A20" s="19" t="s">
        <v>54</v>
      </c>
      <c r="B20" s="19">
        <v>2</v>
      </c>
      <c r="C20" s="18">
        <v>1</v>
      </c>
      <c r="D20" s="22">
        <f>C20*'Reference Data'!$B$17*B20</f>
        <v>480</v>
      </c>
      <c r="E20" s="21">
        <f t="shared" si="0"/>
        <v>1.44</v>
      </c>
    </row>
    <row r="21" spans="1:5">
      <c r="A21" s="23" t="s">
        <v>53</v>
      </c>
      <c r="B21" s="19"/>
      <c r="C21" s="18"/>
      <c r="D21" s="22"/>
      <c r="E21" s="21"/>
    </row>
    <row r="22" spans="1:5">
      <c r="A22" s="19" t="s">
        <v>52</v>
      </c>
      <c r="B22" s="19">
        <v>1</v>
      </c>
      <c r="C22" s="18">
        <v>0.25</v>
      </c>
      <c r="D22" s="22">
        <f>C22*'Reference Data'!$B$17*B22</f>
        <v>60</v>
      </c>
      <c r="E22" s="21">
        <f t="shared" si="0"/>
        <v>0.18</v>
      </c>
    </row>
    <row r="23" spans="1:5">
      <c r="A23" s="19" t="s">
        <v>51</v>
      </c>
      <c r="B23" s="19">
        <v>1</v>
      </c>
      <c r="C23" s="18">
        <v>0.5</v>
      </c>
      <c r="D23" s="22">
        <f>C23*'Reference Data'!$B$17*B23</f>
        <v>120</v>
      </c>
      <c r="E23" s="21">
        <f t="shared" si="0"/>
        <v>0.36</v>
      </c>
    </row>
    <row r="24" spans="1:5">
      <c r="A24" s="19" t="s">
        <v>50</v>
      </c>
      <c r="B24" s="19">
        <v>1</v>
      </c>
      <c r="C24" s="18">
        <v>0.5</v>
      </c>
      <c r="D24" s="22">
        <f>C24*'Reference Data'!$B$17*B24</f>
        <v>120</v>
      </c>
      <c r="E24" s="21">
        <f t="shared" si="0"/>
        <v>0.36</v>
      </c>
    </row>
    <row r="25" spans="1:5">
      <c r="A25" s="19" t="s">
        <v>49</v>
      </c>
      <c r="B25" s="19">
        <v>4</v>
      </c>
      <c r="C25" s="18">
        <v>1</v>
      </c>
      <c r="D25" s="22">
        <f>C25*'Reference Data'!$B$17*B25</f>
        <v>960</v>
      </c>
      <c r="E25" s="21">
        <f t="shared" si="0"/>
        <v>2.88</v>
      </c>
    </row>
    <row r="26" spans="1:5">
      <c r="A26" s="23" t="s">
        <v>48</v>
      </c>
      <c r="B26" s="19"/>
      <c r="C26" s="18"/>
      <c r="D26" s="22"/>
      <c r="E26" s="21"/>
    </row>
    <row r="27" spans="1:5">
      <c r="A27" s="19" t="s">
        <v>47</v>
      </c>
      <c r="B27" s="19">
        <v>1</v>
      </c>
      <c r="C27" s="18">
        <v>1</v>
      </c>
      <c r="D27" s="22">
        <f>C27*'Reference Data'!$B$17*B27</f>
        <v>240</v>
      </c>
      <c r="E27" s="21">
        <f t="shared" si="0"/>
        <v>0.72</v>
      </c>
    </row>
    <row r="28" spans="1:5">
      <c r="A28" s="24" t="s">
        <v>46</v>
      </c>
      <c r="B28" s="19"/>
      <c r="C28" s="18"/>
      <c r="D28" s="22"/>
      <c r="E28" s="21"/>
    </row>
    <row r="29" spans="1:5">
      <c r="A29" s="19" t="s">
        <v>45</v>
      </c>
      <c r="B29" s="19">
        <v>1</v>
      </c>
      <c r="C29" s="18">
        <v>1</v>
      </c>
      <c r="D29" s="22">
        <f>C29*'Reference Data'!$B$17*B29</f>
        <v>240</v>
      </c>
      <c r="E29" s="21">
        <f t="shared" si="0"/>
        <v>0.72</v>
      </c>
    </row>
    <row r="30" spans="1:5">
      <c r="A30" s="19" t="s">
        <v>44</v>
      </c>
      <c r="B30" s="19">
        <v>8</v>
      </c>
      <c r="C30" s="18">
        <v>1</v>
      </c>
      <c r="D30" s="22">
        <f>C30*'Reference Data'!$B$17*B30</f>
        <v>1920</v>
      </c>
      <c r="E30" s="21">
        <f t="shared" si="0"/>
        <v>5.76</v>
      </c>
    </row>
    <row r="31" spans="1:5">
      <c r="A31" s="19" t="s">
        <v>43</v>
      </c>
      <c r="B31" s="19">
        <v>1</v>
      </c>
      <c r="C31" s="18">
        <v>1</v>
      </c>
      <c r="D31" s="22">
        <f>C31*'Reference Data'!$B$17*B31</f>
        <v>240</v>
      </c>
      <c r="E31" s="21">
        <f t="shared" si="0"/>
        <v>0.72</v>
      </c>
    </row>
    <row r="32" spans="1:5">
      <c r="A32" s="19" t="s">
        <v>42</v>
      </c>
      <c r="B32" s="19">
        <v>4</v>
      </c>
      <c r="C32" s="18">
        <v>1</v>
      </c>
      <c r="D32" s="22">
        <f>C32*'Reference Data'!$B$17*B32</f>
        <v>960</v>
      </c>
      <c r="E32" s="21">
        <f t="shared" si="0"/>
        <v>2.88</v>
      </c>
    </row>
    <row r="33" spans="1:5">
      <c r="A33" s="24" t="s">
        <v>41</v>
      </c>
      <c r="B33" s="19"/>
      <c r="C33" s="18"/>
      <c r="D33" s="22"/>
      <c r="E33" s="21"/>
    </row>
    <row r="34" spans="1:5">
      <c r="A34" s="19" t="s">
        <v>40</v>
      </c>
      <c r="B34" s="19">
        <v>1</v>
      </c>
      <c r="C34" s="18">
        <v>1</v>
      </c>
      <c r="D34" s="22">
        <f>C34*'Reference Data'!$B$17*B34</f>
        <v>240</v>
      </c>
      <c r="E34" s="21">
        <f t="shared" si="0"/>
        <v>0.72</v>
      </c>
    </row>
    <row r="35" spans="1:5">
      <c r="A35" s="19" t="s">
        <v>37</v>
      </c>
      <c r="B35" s="19">
        <v>2</v>
      </c>
      <c r="C35" s="18">
        <v>1</v>
      </c>
      <c r="D35" s="22">
        <f>C35*'Reference Data'!$B$17*B35</f>
        <v>480</v>
      </c>
      <c r="E35" s="21">
        <f t="shared" si="0"/>
        <v>1.44</v>
      </c>
    </row>
    <row r="36" spans="1:5">
      <c r="A36" s="19" t="s">
        <v>36</v>
      </c>
      <c r="B36" s="19">
        <v>2</v>
      </c>
      <c r="C36" s="18">
        <v>1</v>
      </c>
      <c r="D36" s="22">
        <f>C36*'Reference Data'!$B$17*B36</f>
        <v>480</v>
      </c>
      <c r="E36" s="21">
        <f t="shared" si="0"/>
        <v>1.44</v>
      </c>
    </row>
    <row r="37" spans="1:5">
      <c r="A37" s="19" t="s">
        <v>35</v>
      </c>
      <c r="B37" s="19">
        <v>2</v>
      </c>
      <c r="C37" s="18">
        <v>1</v>
      </c>
      <c r="D37" s="22">
        <f>C37*'Reference Data'!$B$17*B37</f>
        <v>480</v>
      </c>
      <c r="E37" s="21">
        <f t="shared" si="0"/>
        <v>1.44</v>
      </c>
    </row>
    <row r="38" spans="1:5">
      <c r="A38" s="19" t="s">
        <v>39</v>
      </c>
      <c r="B38" s="19"/>
      <c r="C38" s="18"/>
      <c r="D38" s="22"/>
      <c r="E38" s="21"/>
    </row>
    <row r="39" spans="1:5">
      <c r="A39" s="19" t="s">
        <v>38</v>
      </c>
      <c r="B39" s="19">
        <v>1</v>
      </c>
      <c r="C39" s="18">
        <v>1</v>
      </c>
      <c r="D39" s="22">
        <f>C39*'Reference Data'!$B$17*B39</f>
        <v>240</v>
      </c>
      <c r="E39" s="21">
        <f t="shared" si="0"/>
        <v>0.72</v>
      </c>
    </row>
    <row r="40" spans="1:5">
      <c r="A40" s="19" t="s">
        <v>37</v>
      </c>
      <c r="B40" s="19">
        <v>2</v>
      </c>
      <c r="C40" s="18">
        <v>1</v>
      </c>
      <c r="D40" s="22">
        <f>C40*'Reference Data'!$B$17*B40</f>
        <v>480</v>
      </c>
      <c r="E40" s="21">
        <f t="shared" si="0"/>
        <v>1.44</v>
      </c>
    </row>
    <row r="41" spans="1:5">
      <c r="A41" s="19" t="s">
        <v>36</v>
      </c>
      <c r="B41" s="19">
        <v>1</v>
      </c>
      <c r="C41" s="18">
        <v>1</v>
      </c>
      <c r="D41" s="22">
        <f>C41*'Reference Data'!$B$17*B41</f>
        <v>240</v>
      </c>
      <c r="E41" s="21">
        <f t="shared" si="0"/>
        <v>0.72</v>
      </c>
    </row>
    <row r="42" spans="1:5">
      <c r="A42" s="19" t="s">
        <v>35</v>
      </c>
      <c r="B42" s="19">
        <v>1</v>
      </c>
      <c r="C42" s="18">
        <v>1</v>
      </c>
      <c r="D42" s="22">
        <f>C42*'Reference Data'!$B$17*B42</f>
        <v>240</v>
      </c>
      <c r="E42" s="21">
        <f t="shared" si="0"/>
        <v>0.72</v>
      </c>
    </row>
    <row r="43" spans="1:5">
      <c r="A43" s="23" t="s">
        <v>34</v>
      </c>
      <c r="B43" s="19"/>
      <c r="C43" s="18"/>
      <c r="D43" s="22"/>
      <c r="E43" s="21"/>
    </row>
    <row r="44" spans="1:5">
      <c r="A44" s="19" t="s">
        <v>33</v>
      </c>
      <c r="B44" s="19">
        <v>1</v>
      </c>
      <c r="C44" s="18">
        <v>0.5</v>
      </c>
      <c r="D44" s="22">
        <f>C44*'Reference Data'!$B$17*B44</f>
        <v>120</v>
      </c>
      <c r="E44" s="21">
        <f t="shared" si="0"/>
        <v>0.36</v>
      </c>
    </row>
    <row r="45" spans="1:5">
      <c r="A45" s="19" t="s">
        <v>32</v>
      </c>
      <c r="B45" s="19">
        <v>2</v>
      </c>
      <c r="C45" s="18">
        <v>0.5</v>
      </c>
      <c r="D45" s="22">
        <f>C45*'Reference Data'!$B$17*B45</f>
        <v>240</v>
      </c>
      <c r="E45" s="21">
        <f t="shared" si="0"/>
        <v>0.72</v>
      </c>
    </row>
    <row r="46" spans="1:5">
      <c r="A46" s="19" t="s">
        <v>31</v>
      </c>
      <c r="B46" s="19">
        <v>6</v>
      </c>
      <c r="C46" s="18">
        <v>0.5</v>
      </c>
      <c r="D46" s="22">
        <f>C46*'Reference Data'!$B$17*B46</f>
        <v>720</v>
      </c>
      <c r="E46" s="21">
        <f t="shared" si="0"/>
        <v>2.16</v>
      </c>
    </row>
    <row r="47" spans="1:5">
      <c r="A47" s="19" t="s">
        <v>30</v>
      </c>
      <c r="B47" s="19">
        <v>2</v>
      </c>
      <c r="C47" s="18">
        <v>0.5</v>
      </c>
      <c r="D47" s="22">
        <f>C47*'Reference Data'!$B$17*B47</f>
        <v>240</v>
      </c>
      <c r="E47" s="21">
        <f t="shared" si="0"/>
        <v>0.72</v>
      </c>
    </row>
    <row r="48" spans="1:5">
      <c r="A48" s="23" t="s">
        <v>29</v>
      </c>
      <c r="B48" s="19"/>
      <c r="C48" s="18"/>
      <c r="D48" s="22"/>
      <c r="E48" s="21"/>
    </row>
    <row r="49" spans="1:5">
      <c r="A49" s="19" t="s">
        <v>28</v>
      </c>
      <c r="B49" s="19">
        <v>1</v>
      </c>
      <c r="C49" s="18">
        <v>1</v>
      </c>
      <c r="D49" s="22">
        <f>C49*'Reference Data'!$B$17*B49</f>
        <v>240</v>
      </c>
      <c r="E49" s="21">
        <f t="shared" si="0"/>
        <v>0.72</v>
      </c>
    </row>
    <row r="50" spans="1:5">
      <c r="A50" s="19" t="s">
        <v>27</v>
      </c>
      <c r="B50" s="19">
        <v>1</v>
      </c>
      <c r="C50" s="18">
        <v>1</v>
      </c>
      <c r="D50" s="22">
        <f>C50*'Reference Data'!$B$17*B50</f>
        <v>240</v>
      </c>
      <c r="E50" s="21">
        <f t="shared" si="0"/>
        <v>0.72</v>
      </c>
    </row>
    <row r="51" spans="1:5">
      <c r="A51" s="19" t="s">
        <v>26</v>
      </c>
      <c r="B51" s="19">
        <v>4</v>
      </c>
      <c r="C51" s="18">
        <v>1</v>
      </c>
      <c r="D51" s="22">
        <f>C51*'Reference Data'!$B$17*B51</f>
        <v>960</v>
      </c>
      <c r="E51" s="21">
        <f t="shared" si="0"/>
        <v>2.88</v>
      </c>
    </row>
    <row r="52" spans="1:5">
      <c r="A52" s="19"/>
      <c r="B52" s="19"/>
      <c r="C52" s="18"/>
      <c r="D52" s="22"/>
      <c r="E52" s="21"/>
    </row>
    <row r="53" spans="1:5">
      <c r="A53" s="20" t="s">
        <v>25</v>
      </c>
      <c r="B53" s="19"/>
      <c r="C53" s="18"/>
      <c r="D53" s="17">
        <f>SUM(D9:D51)</f>
        <v>12900</v>
      </c>
      <c r="E53" s="16">
        <f>SUM(E9:E51)</f>
        <v>38.699999999999996</v>
      </c>
    </row>
  </sheetData>
  <mergeCells count="4">
    <mergeCell ref="C7:D7"/>
    <mergeCell ref="B7:B8"/>
    <mergeCell ref="A7:A8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/>
  </sheetViews>
  <sheetFormatPr defaultColWidth="11" defaultRowHeight="15.75"/>
  <cols>
    <col min="1" max="1" width="43.125" bestFit="1" customWidth="1"/>
    <col min="2" max="2" width="16.5" bestFit="1" customWidth="1"/>
    <col min="5" max="5" width="19.5" bestFit="1" customWidth="1"/>
    <col min="6" max="6" width="16.25" bestFit="1" customWidth="1"/>
  </cols>
  <sheetData>
    <row r="1" spans="1:6">
      <c r="A1" t="s">
        <v>2</v>
      </c>
      <c r="B1" s="3">
        <v>2.2799999999999998</v>
      </c>
    </row>
    <row r="2" spans="1:6">
      <c r="A2" t="s">
        <v>1</v>
      </c>
      <c r="B2" s="3">
        <v>3.76</v>
      </c>
    </row>
    <row r="3" spans="1:6">
      <c r="A3" t="s">
        <v>3</v>
      </c>
      <c r="B3" s="3">
        <v>70</v>
      </c>
      <c r="F3" s="2"/>
    </row>
    <row r="4" spans="1:6">
      <c r="A4" t="s">
        <v>4</v>
      </c>
      <c r="B4" s="3">
        <v>30</v>
      </c>
    </row>
    <row r="5" spans="1:6">
      <c r="A5" t="s">
        <v>5</v>
      </c>
      <c r="B5" s="46">
        <v>21662</v>
      </c>
      <c r="F5" s="2"/>
    </row>
    <row r="7" spans="1:6">
      <c r="A7" t="s">
        <v>6</v>
      </c>
      <c r="B7" s="4">
        <v>0.06</v>
      </c>
    </row>
    <row r="8" spans="1:6">
      <c r="A8" t="s">
        <v>7</v>
      </c>
      <c r="B8" s="4">
        <v>0.05</v>
      </c>
    </row>
    <row r="9" spans="1:6">
      <c r="A9" t="s">
        <v>8</v>
      </c>
      <c r="B9" s="4">
        <v>0.04</v>
      </c>
    </row>
    <row r="10" spans="1:6">
      <c r="A10" t="s">
        <v>9</v>
      </c>
      <c r="B10" s="8">
        <v>4.0000000000000001E-3</v>
      </c>
    </row>
    <row r="12" spans="1:6">
      <c r="A12" t="s">
        <v>98</v>
      </c>
      <c r="B12" s="47">
        <v>3500</v>
      </c>
    </row>
    <row r="14" spans="1:6">
      <c r="A14" s="41" t="s">
        <v>91</v>
      </c>
      <c r="B14" s="42">
        <v>20000000</v>
      </c>
    </row>
    <row r="15" spans="1:6">
      <c r="A15" s="45" t="s">
        <v>96</v>
      </c>
      <c r="B15" s="42">
        <v>50000000</v>
      </c>
    </row>
    <row r="17" spans="1:2">
      <c r="A17" t="s">
        <v>92</v>
      </c>
      <c r="B17" s="43">
        <v>240</v>
      </c>
    </row>
    <row r="19" spans="1:2">
      <c r="A19" t="s">
        <v>95</v>
      </c>
      <c r="B19" s="44">
        <v>13685760000000</v>
      </c>
    </row>
  </sheetData>
  <customSheetViews>
    <customSheetView guid="{AA57F53F-F018-45C7-BB53-E7D408712C93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5CDA1519-9BC4-431C-A804-8C8BCA6F7D6F}">
      <selection activeCell="B10" sqref="B10"/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Transaction Details</vt:lpstr>
      <vt:lpstr>Registry Resources Allocations</vt:lpstr>
      <vt:lpstr>Staff Resource Allocations</vt:lpstr>
      <vt:lpstr>Reference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Anne-Mette Roed</cp:lastModifiedBy>
  <dcterms:created xsi:type="dcterms:W3CDTF">2011-09-26T05:28:14Z</dcterms:created>
  <dcterms:modified xsi:type="dcterms:W3CDTF">2012-03-30T10:33:36Z</dcterms:modified>
</cp:coreProperties>
</file>